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64011"/>
  <mc:AlternateContent xmlns:mc="http://schemas.openxmlformats.org/markup-compatibility/2006">
    <mc:Choice Requires="x15">
      <x15ac:absPath xmlns:x15ac="http://schemas.microsoft.com/office/spreadsheetml/2010/11/ac" url="G:\IMPORTACIÓN Y EXPORTACIÓN\"/>
    </mc:Choice>
  </mc:AlternateContent>
  <bookViews>
    <workbookView xWindow="-120" yWindow="2280" windowWidth="19440" windowHeight="10440" firstSheet="4" activeTab="8"/>
  </bookViews>
  <sheets>
    <sheet name="CARACTERIZACIÓN" sheetId="7" r:id="rId1"/>
    <sheet name="ALISTAMIENTO DE CARGA" sheetId="5" r:id="rId2"/>
    <sheet name="DECISIÓN FINAL DE CUBICAJE" sheetId="8" r:id="rId3"/>
    <sheet name="LINEA DE TIEMPO MARITIMA" sheetId="6" r:id="rId4"/>
    <sheet name="LINEA DE TIEMPO AEREA" sheetId="9" r:id="rId5"/>
    <sheet name="MATRIZ 1" sheetId="1" r:id="rId6"/>
    <sheet name="MATRIZ 2" sheetId="10" r:id="rId7"/>
    <sheet name="MATRIZ 3" sheetId="11" r:id="rId8"/>
    <sheet name="MATRIZ 4" sheetId="12" r:id="rId9"/>
  </sheet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52" i="12" l="1"/>
  <c r="H56" i="12"/>
  <c r="D44" i="12" l="1"/>
  <c r="D43" i="12"/>
  <c r="E36" i="12"/>
  <c r="D36" i="12"/>
  <c r="E34" i="12"/>
  <c r="D34" i="12"/>
  <c r="J59" i="12"/>
  <c r="J58" i="12"/>
  <c r="I58" i="12"/>
  <c r="K58" i="12"/>
  <c r="H58" i="12"/>
  <c r="H59" i="12"/>
  <c r="D58" i="12"/>
  <c r="I45" i="12" l="1"/>
  <c r="J45" i="12"/>
  <c r="K45" i="12"/>
  <c r="H45" i="12"/>
  <c r="F48" i="11"/>
  <c r="G48" i="11"/>
  <c r="F28" i="11"/>
  <c r="G28" i="11"/>
  <c r="I45" i="11"/>
  <c r="J45" i="11"/>
  <c r="K45" i="11"/>
  <c r="H45" i="11"/>
  <c r="I45" i="1"/>
  <c r="H45" i="1"/>
  <c r="D59" i="1" l="1"/>
  <c r="D56" i="1"/>
  <c r="E55" i="1"/>
  <c r="E52" i="1"/>
  <c r="Q40" i="1"/>
  <c r="H46" i="1"/>
  <c r="D44" i="1"/>
  <c r="D43" i="1"/>
  <c r="R61" i="1"/>
  <c r="X48" i="1"/>
  <c r="X46" i="1"/>
  <c r="R51" i="1"/>
  <c r="Q51" i="1"/>
  <c r="Q50" i="1"/>
  <c r="Q45" i="1"/>
  <c r="H35" i="1"/>
  <c r="E32" i="1"/>
  <c r="G22" i="1"/>
  <c r="G20" i="1"/>
  <c r="E17" i="1"/>
  <c r="H39" i="1"/>
  <c r="G51" i="1"/>
  <c r="K46" i="1"/>
  <c r="K45" i="1"/>
  <c r="J45" i="1"/>
  <c r="T70" i="1"/>
  <c r="S70" i="1"/>
  <c r="R69" i="1"/>
  <c r="P70" i="1"/>
  <c r="O70" i="1"/>
  <c r="R59" i="1"/>
  <c r="I39" i="1"/>
  <c r="K39" i="1"/>
  <c r="Q49" i="1"/>
  <c r="E60" i="12"/>
  <c r="E59" i="12"/>
  <c r="E58" i="12"/>
  <c r="U54" i="12"/>
  <c r="V54" i="12"/>
  <c r="X53" i="12"/>
  <c r="Z54" i="12"/>
  <c r="Y54" i="12"/>
  <c r="X48" i="12"/>
  <c r="X46" i="12"/>
  <c r="R51" i="12"/>
  <c r="Q51" i="12"/>
  <c r="Q50" i="12"/>
  <c r="Q46" i="12"/>
  <c r="Q45" i="12"/>
  <c r="F48" i="12"/>
  <c r="G48" i="12"/>
  <c r="F28" i="12"/>
  <c r="G28" i="12"/>
  <c r="Q35" i="12"/>
  <c r="Q35" i="11"/>
  <c r="Q45" i="10"/>
  <c r="Q35" i="10"/>
  <c r="F27" i="1"/>
  <c r="Q35" i="1"/>
  <c r="E22" i="12"/>
  <c r="E22" i="11"/>
  <c r="E22" i="10"/>
  <c r="E22" i="1"/>
  <c r="K39" i="12" l="1"/>
  <c r="P67" i="8" l="1"/>
  <c r="G67" i="8"/>
  <c r="B67" i="8"/>
  <c r="AK65" i="6"/>
  <c r="Q30" i="11"/>
  <c r="Q38" i="11" s="1"/>
  <c r="Q30" i="1"/>
  <c r="K49" i="12"/>
  <c r="K31" i="12"/>
  <c r="F27" i="12"/>
  <c r="K49" i="11"/>
  <c r="K31" i="11"/>
  <c r="G30" i="11"/>
  <c r="F27" i="11"/>
  <c r="K49" i="10"/>
  <c r="K31" i="10"/>
  <c r="F27" i="10"/>
  <c r="I17" i="1"/>
  <c r="G30" i="1"/>
  <c r="J23" i="1"/>
  <c r="H23" i="1" s="1"/>
  <c r="G29" i="1"/>
  <c r="K31" i="1"/>
  <c r="G51" i="12"/>
  <c r="G50" i="12"/>
  <c r="Q49" i="12"/>
  <c r="Q48" i="12"/>
  <c r="Q47" i="12"/>
  <c r="G32" i="12"/>
  <c r="G30" i="12"/>
  <c r="Q30" i="12"/>
  <c r="Q38" i="12" s="1"/>
  <c r="G29" i="12"/>
  <c r="G24" i="12"/>
  <c r="J23" i="12"/>
  <c r="F23" i="12"/>
  <c r="I19" i="12"/>
  <c r="E19" i="12"/>
  <c r="E17" i="12"/>
  <c r="G51" i="11"/>
  <c r="G50" i="11"/>
  <c r="Q49" i="11"/>
  <c r="Q48" i="11"/>
  <c r="Q47" i="11"/>
  <c r="Q46" i="11"/>
  <c r="Q45" i="11"/>
  <c r="G32" i="11"/>
  <c r="G29" i="11"/>
  <c r="G24" i="11"/>
  <c r="J23" i="11"/>
  <c r="F23" i="11"/>
  <c r="I19" i="11"/>
  <c r="E19" i="11"/>
  <c r="E17" i="11"/>
  <c r="I17" i="11" s="1"/>
  <c r="G50" i="10"/>
  <c r="G51" i="10"/>
  <c r="K49" i="1"/>
  <c r="Q48" i="1"/>
  <c r="Q47" i="1"/>
  <c r="Q46" i="1"/>
  <c r="G32" i="1"/>
  <c r="G24" i="1"/>
  <c r="F23" i="1"/>
  <c r="D23" i="1" s="1"/>
  <c r="I19" i="1"/>
  <c r="E19" i="1"/>
  <c r="G19" i="1" s="1"/>
  <c r="G17" i="1"/>
  <c r="Q30" i="10"/>
  <c r="Q38" i="10" s="1"/>
  <c r="I17" i="12" l="1"/>
  <c r="G17" i="12"/>
  <c r="Q50" i="11"/>
  <c r="Q51" i="11" s="1"/>
  <c r="Q49" i="10"/>
  <c r="Q48" i="10"/>
  <c r="Q47" i="10"/>
  <c r="Q46" i="10"/>
  <c r="G32" i="10"/>
  <c r="G30" i="10"/>
  <c r="G29" i="10"/>
  <c r="G24" i="10"/>
  <c r="J23" i="10"/>
  <c r="F23" i="10"/>
  <c r="I19" i="10"/>
  <c r="E19" i="10"/>
  <c r="E17" i="10"/>
  <c r="W46" i="12" l="1"/>
  <c r="R51" i="11"/>
  <c r="W46" i="11" s="1"/>
  <c r="W46" i="1"/>
  <c r="I17" i="10"/>
  <c r="Q50" i="10"/>
  <c r="Q51" i="10" s="1"/>
  <c r="R51" i="10" s="1"/>
  <c r="G38" i="12" l="1"/>
  <c r="G38" i="11"/>
  <c r="G38" i="1"/>
  <c r="G38" i="10"/>
  <c r="W46" i="10"/>
  <c r="D9" i="11" l="1"/>
  <c r="D8" i="11"/>
  <c r="D9" i="10"/>
  <c r="D8" i="10"/>
  <c r="D9" i="1"/>
  <c r="D8" i="1"/>
  <c r="Q22" i="1" s="1"/>
  <c r="Q28" i="11" l="1"/>
  <c r="Q22" i="11"/>
  <c r="Q31" i="11"/>
  <c r="Q39" i="11" s="1"/>
  <c r="Q23" i="11"/>
  <c r="Q39" i="10"/>
  <c r="Q28" i="10"/>
  <c r="Q36" i="10" s="1"/>
  <c r="Q22" i="10"/>
  <c r="Q31" i="10"/>
  <c r="Q23" i="10"/>
  <c r="Q28" i="1"/>
  <c r="Q31" i="1"/>
  <c r="G25" i="1"/>
  <c r="Q23" i="1"/>
  <c r="F51" i="10"/>
  <c r="D20" i="1"/>
  <c r="J53" i="11"/>
  <c r="J49" i="11"/>
  <c r="H21" i="11"/>
  <c r="J51" i="11"/>
  <c r="H49" i="11"/>
  <c r="J32" i="11"/>
  <c r="J31" i="11"/>
  <c r="J24" i="11"/>
  <c r="K23" i="11"/>
  <c r="H20" i="11"/>
  <c r="H19" i="11"/>
  <c r="D20" i="11"/>
  <c r="F54" i="11"/>
  <c r="F53" i="11"/>
  <c r="G25" i="11"/>
  <c r="G23" i="11"/>
  <c r="D21" i="11"/>
  <c r="F24" i="11"/>
  <c r="F50" i="11"/>
  <c r="G27" i="11"/>
  <c r="F29" i="11"/>
  <c r="F32" i="11"/>
  <c r="F51" i="11"/>
  <c r="F30" i="11"/>
  <c r="D17" i="11"/>
  <c r="D19" i="11"/>
  <c r="F38" i="11"/>
  <c r="F54" i="1"/>
  <c r="F53" i="1"/>
  <c r="F51" i="1"/>
  <c r="Q38" i="1"/>
  <c r="Q39" i="1"/>
  <c r="F32" i="1"/>
  <c r="F30" i="1"/>
  <c r="F29" i="1"/>
  <c r="G23" i="1"/>
  <c r="D21" i="1"/>
  <c r="D17" i="1"/>
  <c r="D19" i="1"/>
  <c r="F50" i="1"/>
  <c r="F24" i="1"/>
  <c r="G27" i="1"/>
  <c r="F38" i="1"/>
  <c r="J53" i="1"/>
  <c r="J49" i="1"/>
  <c r="H21" i="1"/>
  <c r="H20" i="1"/>
  <c r="J51" i="1"/>
  <c r="H49" i="1"/>
  <c r="J32" i="1"/>
  <c r="J24" i="1"/>
  <c r="K23" i="1"/>
  <c r="J31" i="1"/>
  <c r="H19" i="1"/>
  <c r="H49" i="10"/>
  <c r="J49" i="10"/>
  <c r="F54" i="10"/>
  <c r="D21" i="10"/>
  <c r="F53" i="10"/>
  <c r="G25" i="10"/>
  <c r="D20" i="10"/>
  <c r="F30" i="10"/>
  <c r="F50" i="10"/>
  <c r="D17" i="10"/>
  <c r="F32" i="10"/>
  <c r="F29" i="10"/>
  <c r="F24" i="10"/>
  <c r="G27" i="10"/>
  <c r="G23" i="10"/>
  <c r="D19" i="10"/>
  <c r="F38" i="10"/>
  <c r="J51" i="10"/>
  <c r="J32" i="10"/>
  <c r="H21" i="10"/>
  <c r="H20" i="10"/>
  <c r="J53" i="10"/>
  <c r="J31" i="10"/>
  <c r="J24" i="10"/>
  <c r="K23" i="10"/>
  <c r="H19" i="10"/>
  <c r="Q36" i="1" l="1"/>
  <c r="Q32" i="1"/>
  <c r="G28" i="1" s="1"/>
  <c r="F28" i="1" s="1"/>
  <c r="D28" i="1" s="1"/>
  <c r="E28" i="1" s="1"/>
  <c r="Q36" i="11"/>
  <c r="Q32" i="11"/>
  <c r="Q32" i="10"/>
  <c r="G28" i="10" s="1"/>
  <c r="F28" i="10" s="1"/>
  <c r="AK164" i="6" l="1"/>
  <c r="D8" i="12"/>
  <c r="D9" i="12"/>
  <c r="I199" i="9"/>
  <c r="G200" i="9" s="1"/>
  <c r="I194" i="9"/>
  <c r="I193" i="9"/>
  <c r="I195" i="9"/>
  <c r="I196" i="9"/>
  <c r="I197" i="9"/>
  <c r="I198" i="9"/>
  <c r="I132" i="9"/>
  <c r="I130" i="9"/>
  <c r="I131" i="9"/>
  <c r="I133" i="9"/>
  <c r="I134" i="9"/>
  <c r="I135" i="9"/>
  <c r="I136" i="9"/>
  <c r="I137" i="9"/>
  <c r="J193" i="9"/>
  <c r="J194" i="9"/>
  <c r="J195" i="9"/>
  <c r="J196" i="9"/>
  <c r="J197" i="9"/>
  <c r="J198" i="9"/>
  <c r="J199" i="9"/>
  <c r="G138" i="9"/>
  <c r="G12" i="9"/>
  <c r="G77" i="9"/>
  <c r="J130" i="9"/>
  <c r="J131" i="9"/>
  <c r="J132" i="9"/>
  <c r="J133" i="9"/>
  <c r="J134" i="9"/>
  <c r="J135" i="9"/>
  <c r="J136" i="9"/>
  <c r="J137" i="9"/>
  <c r="Q31" i="12" l="1"/>
  <c r="Q39" i="12" s="1"/>
  <c r="Q23" i="12"/>
  <c r="Q28" i="12"/>
  <c r="Q36" i="12" s="1"/>
  <c r="Q22" i="12"/>
  <c r="F54" i="12"/>
  <c r="F53" i="12"/>
  <c r="G25" i="12"/>
  <c r="D21" i="12"/>
  <c r="D20" i="12"/>
  <c r="G23" i="12"/>
  <c r="G27" i="12"/>
  <c r="F24" i="12"/>
  <c r="F50" i="12"/>
  <c r="F30" i="12"/>
  <c r="F29" i="12"/>
  <c r="F32" i="12"/>
  <c r="F51" i="12"/>
  <c r="D17" i="12"/>
  <c r="D19" i="12"/>
  <c r="F38" i="12"/>
  <c r="J51" i="12"/>
  <c r="H49" i="12"/>
  <c r="J32" i="12"/>
  <c r="J24" i="12"/>
  <c r="H20" i="12"/>
  <c r="J53" i="12"/>
  <c r="J49" i="12"/>
  <c r="H21" i="12"/>
  <c r="J31" i="12"/>
  <c r="H19" i="12"/>
  <c r="K23" i="12"/>
  <c r="J70" i="9"/>
  <c r="J71" i="9"/>
  <c r="J72" i="9"/>
  <c r="J73" i="9"/>
  <c r="J74" i="9"/>
  <c r="J75" i="9"/>
  <c r="J76" i="9"/>
  <c r="J11" i="9"/>
  <c r="H12" i="9" s="1"/>
  <c r="J10" i="9"/>
  <c r="J9" i="9"/>
  <c r="J8" i="9"/>
  <c r="J7" i="9"/>
  <c r="Q32" i="12" l="1"/>
  <c r="G65" i="9" l="1"/>
  <c r="G125" i="9" s="1"/>
  <c r="F203" i="9"/>
  <c r="F200" i="9"/>
  <c r="J192" i="9"/>
  <c r="H200" i="9" s="1"/>
  <c r="I192" i="9"/>
  <c r="I200" i="9" s="1"/>
  <c r="F191" i="9"/>
  <c r="H189" i="9"/>
  <c r="J189" i="9" s="1"/>
  <c r="H190" i="9" s="1"/>
  <c r="J190" i="9" s="1"/>
  <c r="H191" i="9" s="1"/>
  <c r="F141" i="9"/>
  <c r="F138" i="9"/>
  <c r="J129" i="9"/>
  <c r="H138" i="9" s="1"/>
  <c r="J138" i="9" s="1"/>
  <c r="H139" i="9" s="1"/>
  <c r="J139" i="9" s="1"/>
  <c r="H140" i="9" s="1"/>
  <c r="J140" i="9" s="1"/>
  <c r="H141" i="9" s="1"/>
  <c r="J141" i="9" s="1"/>
  <c r="I129" i="9"/>
  <c r="I138" i="9" s="1"/>
  <c r="G139" i="9" s="1"/>
  <c r="I139" i="9" s="1"/>
  <c r="G140" i="9" s="1"/>
  <c r="I140" i="9" s="1"/>
  <c r="G141" i="9" s="1"/>
  <c r="I141" i="9" s="1"/>
  <c r="F128" i="9"/>
  <c r="H126" i="9"/>
  <c r="J126" i="9" s="1"/>
  <c r="H127" i="9" s="1"/>
  <c r="J127" i="9" s="1"/>
  <c r="H128" i="9" s="1"/>
  <c r="F80" i="9"/>
  <c r="F77" i="9"/>
  <c r="J69" i="9"/>
  <c r="H77" i="9" s="1"/>
  <c r="I69" i="9"/>
  <c r="I77" i="9" s="1"/>
  <c r="G78" i="9" s="1"/>
  <c r="I78" i="9" s="1"/>
  <c r="G79" i="9" s="1"/>
  <c r="I79" i="9" s="1"/>
  <c r="G80" i="9" s="1"/>
  <c r="I80" i="9" s="1"/>
  <c r="F68" i="9"/>
  <c r="H66" i="9"/>
  <c r="J66" i="9" s="1"/>
  <c r="H67" i="9" s="1"/>
  <c r="J67" i="9" s="1"/>
  <c r="H68" i="9" s="1"/>
  <c r="F12" i="9"/>
  <c r="I7" i="9"/>
  <c r="I12" i="9" s="1"/>
  <c r="G13" i="9" s="1"/>
  <c r="I13" i="9" s="1"/>
  <c r="G14" i="9" s="1"/>
  <c r="I14" i="9" s="1"/>
  <c r="G15" i="9" s="1"/>
  <c r="I15" i="9" s="1"/>
  <c r="H4" i="9"/>
  <c r="J4" i="9" s="1"/>
  <c r="H5" i="9" s="1"/>
  <c r="J5" i="9" s="1"/>
  <c r="H6" i="9" s="1"/>
  <c r="F15" i="9"/>
  <c r="F6" i="9"/>
  <c r="G4" i="9"/>
  <c r="I4" i="9" s="1"/>
  <c r="G5" i="9" s="1"/>
  <c r="I5" i="9" s="1"/>
  <c r="G201" i="9" l="1"/>
  <c r="I201" i="9" s="1"/>
  <c r="G202" i="9" s="1"/>
  <c r="I202" i="9" s="1"/>
  <c r="G203" i="9" s="1"/>
  <c r="I203" i="9" s="1"/>
  <c r="G188" i="9"/>
  <c r="G189" i="9" s="1"/>
  <c r="I189" i="9" s="1"/>
  <c r="G190" i="9" s="1"/>
  <c r="I190" i="9" s="1"/>
  <c r="G191" i="9" s="1"/>
  <c r="I191" i="9" s="1"/>
  <c r="G126" i="9"/>
  <c r="I126" i="9" s="1"/>
  <c r="G127" i="9" s="1"/>
  <c r="I127" i="9" s="1"/>
  <c r="G128" i="9" s="1"/>
  <c r="I128" i="9" s="1"/>
  <c r="G66" i="9"/>
  <c r="I66" i="9" s="1"/>
  <c r="G67" i="9" s="1"/>
  <c r="I67" i="9" s="1"/>
  <c r="G68" i="9" s="1"/>
  <c r="I68" i="9" s="1"/>
  <c r="J77" i="9"/>
  <c r="H78" i="9" s="1"/>
  <c r="J78" i="9" s="1"/>
  <c r="H79" i="9" s="1"/>
  <c r="J79" i="9" s="1"/>
  <c r="H80" i="9" s="1"/>
  <c r="J80" i="9" s="1"/>
  <c r="J200" i="9"/>
  <c r="H201" i="9" s="1"/>
  <c r="J201" i="9" s="1"/>
  <c r="H202" i="9" s="1"/>
  <c r="J202" i="9" s="1"/>
  <c r="H203" i="9" s="1"/>
  <c r="J203" i="9" s="1"/>
  <c r="J68" i="9"/>
  <c r="J128" i="9"/>
  <c r="J191" i="9"/>
  <c r="J6" i="9"/>
  <c r="J12" i="9" s="1"/>
  <c r="H13" i="9" s="1"/>
  <c r="G6" i="9"/>
  <c r="I6" i="9" s="1"/>
  <c r="H67" i="6"/>
  <c r="H117" i="6"/>
  <c r="G118" i="6" s="1"/>
  <c r="H118" i="6" s="1"/>
  <c r="G119" i="6" s="1"/>
  <c r="H119" i="6" s="1"/>
  <c r="G120" i="6" s="1"/>
  <c r="H120" i="6" s="1"/>
  <c r="G121" i="6" s="1"/>
  <c r="H121" i="6" s="1"/>
  <c r="H166" i="6"/>
  <c r="G167" i="6" s="1"/>
  <c r="H167" i="6" s="1"/>
  <c r="G168" i="6" s="1"/>
  <c r="H168" i="6" s="1"/>
  <c r="G169" i="6" s="1"/>
  <c r="H169" i="6" s="1"/>
  <c r="G170" i="6" s="1"/>
  <c r="H170" i="6" s="1"/>
  <c r="G163" i="6"/>
  <c r="H163" i="6" s="1"/>
  <c r="G164" i="6" s="1"/>
  <c r="H164" i="6" s="1"/>
  <c r="G165" i="6" s="1"/>
  <c r="H165" i="6" s="1"/>
  <c r="G114" i="6"/>
  <c r="H114" i="6" s="1"/>
  <c r="G115" i="6" s="1"/>
  <c r="H115" i="6" s="1"/>
  <c r="G116" i="6" s="1"/>
  <c r="H116" i="6" s="1"/>
  <c r="G68" i="6"/>
  <c r="H68" i="6" s="1"/>
  <c r="G69" i="6" s="1"/>
  <c r="H69" i="6" s="1"/>
  <c r="G70" i="6" s="1"/>
  <c r="H70" i="6" s="1"/>
  <c r="G71" i="6" s="1"/>
  <c r="H71" i="6" s="1"/>
  <c r="G64" i="6"/>
  <c r="H64" i="6" s="1"/>
  <c r="G65" i="6" s="1"/>
  <c r="H65" i="6" s="1"/>
  <c r="G66" i="6" s="1"/>
  <c r="H66" i="6" s="1"/>
  <c r="H7" i="6"/>
  <c r="G8" i="6" s="1"/>
  <c r="H8" i="6" s="1"/>
  <c r="G9" i="6" s="1"/>
  <c r="H9" i="6" s="1"/>
  <c r="G10" i="6" s="1"/>
  <c r="H10" i="6" s="1"/>
  <c r="G11" i="6" s="1"/>
  <c r="H11" i="6" s="1"/>
  <c r="G4" i="6"/>
  <c r="H4" i="6" s="1"/>
  <c r="G5" i="6" s="1"/>
  <c r="H5" i="6" s="1"/>
  <c r="G6" i="6" s="1"/>
  <c r="G55" i="8"/>
  <c r="L55" i="8" s="1"/>
  <c r="P55" i="8" s="1"/>
  <c r="G30" i="8"/>
  <c r="E30" i="8"/>
  <c r="F30" i="8" s="1"/>
  <c r="E39" i="8" s="1"/>
  <c r="G29" i="8"/>
  <c r="E29" i="8"/>
  <c r="F29" i="8" s="1"/>
  <c r="I28" i="8"/>
  <c r="G28" i="8"/>
  <c r="E28" i="8"/>
  <c r="I8" i="8"/>
  <c r="J13" i="8" s="1"/>
  <c r="G8" i="8"/>
  <c r="E8" i="8"/>
  <c r="I7" i="8"/>
  <c r="J12" i="8" s="1"/>
  <c r="G7" i="8"/>
  <c r="E7" i="8"/>
  <c r="I6" i="8"/>
  <c r="G6" i="8"/>
  <c r="E6" i="8"/>
  <c r="O7" i="8"/>
  <c r="R34" i="5"/>
  <c r="P48" i="5" s="1"/>
  <c r="R6" i="5"/>
  <c r="P17" i="5" s="1"/>
  <c r="M19" i="8" l="1"/>
  <c r="G58" i="8"/>
  <c r="L58" i="8"/>
  <c r="P58" i="8"/>
  <c r="B58" i="8"/>
  <c r="J13" i="9"/>
  <c r="H14" i="9" s="1"/>
  <c r="J14" i="9" s="1"/>
  <c r="H15" i="9" s="1"/>
  <c r="J15" i="9" s="1"/>
  <c r="H6" i="6"/>
  <c r="H7" i="8"/>
  <c r="F12" i="8" s="1"/>
  <c r="O8" i="8"/>
  <c r="O11" i="8"/>
  <c r="F7" i="8"/>
  <c r="E12" i="8" s="1"/>
  <c r="J7" i="8"/>
  <c r="G12" i="8" s="1"/>
  <c r="H8" i="8"/>
  <c r="F13" i="8" s="1"/>
  <c r="F39" i="8"/>
  <c r="F31" i="8"/>
  <c r="E38" i="8"/>
  <c r="E40" i="8" s="1"/>
  <c r="H29" i="8"/>
  <c r="F8" i="8"/>
  <c r="E13" i="8" s="1"/>
  <c r="J8" i="8"/>
  <c r="G13" i="8" s="1"/>
  <c r="M35" i="5"/>
  <c r="M7" i="5"/>
  <c r="M193" i="5"/>
  <c r="K193" i="5"/>
  <c r="I193" i="5"/>
  <c r="M192" i="5"/>
  <c r="K192" i="5"/>
  <c r="I192" i="5"/>
  <c r="M191" i="5"/>
  <c r="N193" i="5" s="1"/>
  <c r="K198" i="5" s="1"/>
  <c r="M198" i="5" s="1"/>
  <c r="N198" i="5" s="1"/>
  <c r="K191" i="5"/>
  <c r="I191" i="5"/>
  <c r="M166" i="5"/>
  <c r="K166" i="5"/>
  <c r="I166" i="5"/>
  <c r="M165" i="5"/>
  <c r="M164" i="5"/>
  <c r="K165" i="5"/>
  <c r="I165" i="5"/>
  <c r="K164" i="5"/>
  <c r="I164" i="5"/>
  <c r="J165" i="5" s="1"/>
  <c r="I171" i="5" s="1"/>
  <c r="J151" i="5"/>
  <c r="K144" i="5"/>
  <c r="L144" i="5" s="1"/>
  <c r="I144" i="5"/>
  <c r="J144" i="5" s="1"/>
  <c r="K143" i="5"/>
  <c r="L143" i="5" s="1"/>
  <c r="L145" i="5" s="1"/>
  <c r="I143" i="5"/>
  <c r="J143" i="5" s="1"/>
  <c r="I149" i="5" s="1"/>
  <c r="I151" i="5" s="1"/>
  <c r="M142" i="5"/>
  <c r="K142" i="5"/>
  <c r="I142" i="5"/>
  <c r="K120" i="5"/>
  <c r="L120" i="5" s="1"/>
  <c r="I120" i="5"/>
  <c r="J120" i="5" s="1"/>
  <c r="I126" i="5" s="1"/>
  <c r="K119" i="5"/>
  <c r="L119" i="5" s="1"/>
  <c r="I119" i="5"/>
  <c r="J119" i="5" s="1"/>
  <c r="M118" i="5"/>
  <c r="K118" i="5"/>
  <c r="I118" i="5"/>
  <c r="K96" i="5"/>
  <c r="L96" i="5" s="1"/>
  <c r="J102" i="5" s="1"/>
  <c r="I96" i="5"/>
  <c r="J96" i="5" s="1"/>
  <c r="I102" i="5" s="1"/>
  <c r="K95" i="5"/>
  <c r="L95" i="5" s="1"/>
  <c r="I95" i="5"/>
  <c r="J95" i="5" s="1"/>
  <c r="M94" i="5"/>
  <c r="K94" i="5"/>
  <c r="I94" i="5"/>
  <c r="K70" i="5"/>
  <c r="I70" i="5"/>
  <c r="J70" i="5" s="1"/>
  <c r="K69" i="5"/>
  <c r="I69" i="5"/>
  <c r="J69" i="5" s="1"/>
  <c r="I75" i="5" s="1"/>
  <c r="M68" i="5"/>
  <c r="K68" i="5"/>
  <c r="I68" i="5"/>
  <c r="M37" i="5"/>
  <c r="N45" i="5" s="1"/>
  <c r="C109" i="5" s="1"/>
  <c r="K37" i="5"/>
  <c r="I37" i="5"/>
  <c r="M36" i="5"/>
  <c r="N44" i="5" s="1"/>
  <c r="K36" i="5"/>
  <c r="I36" i="5"/>
  <c r="K35" i="5"/>
  <c r="I35" i="5"/>
  <c r="J36" i="5" s="1"/>
  <c r="I44" i="5" s="1"/>
  <c r="M9" i="5"/>
  <c r="N14" i="5" s="1"/>
  <c r="R7" i="5" s="1"/>
  <c r="R17" i="5" s="1"/>
  <c r="K9" i="5"/>
  <c r="I9" i="5"/>
  <c r="M8" i="5"/>
  <c r="N13" i="5" s="1"/>
  <c r="K8" i="5"/>
  <c r="I8" i="5"/>
  <c r="K7" i="5"/>
  <c r="I7" i="5"/>
  <c r="J8" i="5" s="1"/>
  <c r="I13" i="5" s="1"/>
  <c r="L166" i="5" l="1"/>
  <c r="J172" i="5" s="1"/>
  <c r="J173" i="5" s="1"/>
  <c r="J193" i="5"/>
  <c r="I198" i="5" s="1"/>
  <c r="L193" i="5"/>
  <c r="J198" i="5" s="1"/>
  <c r="N20" i="8"/>
  <c r="P62" i="8"/>
  <c r="B62" i="8"/>
  <c r="L62" i="8"/>
  <c r="G62" i="8"/>
  <c r="G59" i="8"/>
  <c r="L59" i="8"/>
  <c r="P59" i="8"/>
  <c r="B59" i="8"/>
  <c r="H12" i="8"/>
  <c r="H13" i="8"/>
  <c r="O6" i="8" s="1"/>
  <c r="O19" i="8"/>
  <c r="B42" i="8"/>
  <c r="I29" i="8" s="1"/>
  <c r="F38" i="8"/>
  <c r="F40" i="8" s="1"/>
  <c r="H38" i="8" s="1"/>
  <c r="O30" i="8" s="1"/>
  <c r="H31" i="8"/>
  <c r="L69" i="5"/>
  <c r="L71" i="5" s="1"/>
  <c r="J76" i="5"/>
  <c r="M95" i="5"/>
  <c r="R35" i="5"/>
  <c r="R48" i="5" s="1"/>
  <c r="L9" i="5"/>
  <c r="J14" i="5" s="1"/>
  <c r="N37" i="5"/>
  <c r="K45" i="5" s="1"/>
  <c r="N8" i="5"/>
  <c r="K13" i="5" s="1"/>
  <c r="R38" i="5"/>
  <c r="Q49" i="5" s="1"/>
  <c r="J166" i="5"/>
  <c r="I172" i="5" s="1"/>
  <c r="I173" i="5" s="1"/>
  <c r="L165" i="5"/>
  <c r="J171" i="5" s="1"/>
  <c r="L171" i="5" s="1"/>
  <c r="J37" i="5"/>
  <c r="I45" i="5" s="1"/>
  <c r="N36" i="5"/>
  <c r="K44" i="5" s="1"/>
  <c r="N165" i="5"/>
  <c r="K171" i="5" s="1"/>
  <c r="M171" i="5" s="1"/>
  <c r="N171" i="5" s="1"/>
  <c r="J192" i="5"/>
  <c r="I199" i="5" s="1"/>
  <c r="I200" i="5" s="1"/>
  <c r="L192" i="5"/>
  <c r="J199" i="5" s="1"/>
  <c r="J200" i="5" s="1"/>
  <c r="K200" i="5"/>
  <c r="N192" i="5"/>
  <c r="K199" i="5" s="1"/>
  <c r="M199" i="5" s="1"/>
  <c r="N199" i="5" s="1"/>
  <c r="I125" i="5"/>
  <c r="I127" i="5" s="1"/>
  <c r="J121" i="5"/>
  <c r="J97" i="5"/>
  <c r="I101" i="5"/>
  <c r="I103" i="5" s="1"/>
  <c r="J145" i="5"/>
  <c r="I76" i="5"/>
  <c r="I77" i="5" s="1"/>
  <c r="J71" i="5"/>
  <c r="L198" i="5"/>
  <c r="L97" i="5"/>
  <c r="J101" i="5"/>
  <c r="J103" i="5" s="1"/>
  <c r="L121" i="5"/>
  <c r="J125" i="5"/>
  <c r="J127" i="5" s="1"/>
  <c r="J9" i="5"/>
  <c r="I14" i="5" s="1"/>
  <c r="N166" i="5"/>
  <c r="K172" i="5" s="1"/>
  <c r="M172" i="5" s="1"/>
  <c r="N172" i="5" s="1"/>
  <c r="L37" i="5"/>
  <c r="J45" i="5" s="1"/>
  <c r="L36" i="5"/>
  <c r="J44" i="5" s="1"/>
  <c r="L44" i="5" s="1"/>
  <c r="L8" i="5"/>
  <c r="J13" i="5" s="1"/>
  <c r="L13" i="5" s="1"/>
  <c r="M143" i="5"/>
  <c r="C81" i="5"/>
  <c r="R10" i="5"/>
  <c r="Q18" i="5" s="1"/>
  <c r="N9" i="5"/>
  <c r="K14" i="5" s="1"/>
  <c r="P57" i="8" l="1"/>
  <c r="B57" i="8"/>
  <c r="L57" i="8"/>
  <c r="G57" i="8"/>
  <c r="L14" i="5"/>
  <c r="R5" i="5" s="1"/>
  <c r="R8" i="5" s="1"/>
  <c r="C84" i="5" s="1"/>
  <c r="J75" i="5"/>
  <c r="J77" i="5" s="1"/>
  <c r="L75" i="5" s="1"/>
  <c r="P66" i="8"/>
  <c r="B66" i="8"/>
  <c r="G66" i="8"/>
  <c r="L66" i="8"/>
  <c r="B44" i="8"/>
  <c r="O28" i="8" s="1"/>
  <c r="L51" i="8"/>
  <c r="G51" i="8"/>
  <c r="B51" i="8"/>
  <c r="P51" i="8"/>
  <c r="O10" i="8"/>
  <c r="J29" i="8"/>
  <c r="G38" i="8" s="1"/>
  <c r="J38" i="8"/>
  <c r="J40" i="8" s="1"/>
  <c r="O33" i="8" s="1"/>
  <c r="O9" i="8"/>
  <c r="N23" i="8"/>
  <c r="M119" i="5"/>
  <c r="R122" i="5" s="1"/>
  <c r="R123" i="5" s="1"/>
  <c r="L45" i="5"/>
  <c r="R33" i="5" s="1"/>
  <c r="R37" i="5" s="1"/>
  <c r="Q47" i="5" s="1"/>
  <c r="L172" i="5"/>
  <c r="L199" i="5"/>
  <c r="R191" i="5" s="1"/>
  <c r="R192" i="5" s="1"/>
  <c r="R193" i="5" s="1"/>
  <c r="R9" i="5"/>
  <c r="C82" i="5" s="1"/>
  <c r="Q21" i="5"/>
  <c r="R195" i="5"/>
  <c r="R196" i="5" s="1"/>
  <c r="L125" i="5"/>
  <c r="R168" i="5"/>
  <c r="R169" i="5" s="1"/>
  <c r="C83" i="5"/>
  <c r="L101" i="5"/>
  <c r="R164" i="5"/>
  <c r="M69" i="5"/>
  <c r="N69" i="5" s="1"/>
  <c r="K75" i="5" s="1"/>
  <c r="M75" i="5" s="1"/>
  <c r="N75" i="5" s="1"/>
  <c r="N143" i="5"/>
  <c r="K149" i="5" s="1"/>
  <c r="M149" i="5" s="1"/>
  <c r="N149" i="5" s="1"/>
  <c r="R146" i="5"/>
  <c r="R147" i="5" s="1"/>
  <c r="N95" i="5"/>
  <c r="K101" i="5" s="1"/>
  <c r="M101" i="5" s="1"/>
  <c r="N101" i="5" s="1"/>
  <c r="R98" i="5"/>
  <c r="R99" i="5" s="1"/>
  <c r="P64" i="8" l="1"/>
  <c r="B64" i="8"/>
  <c r="G64" i="8"/>
  <c r="L64" i="8"/>
  <c r="B45" i="8"/>
  <c r="G60" i="8"/>
  <c r="L60" i="8"/>
  <c r="P60" i="8"/>
  <c r="B60" i="8"/>
  <c r="G69" i="8"/>
  <c r="L69" i="8"/>
  <c r="B69" i="8"/>
  <c r="P69" i="8"/>
  <c r="R68" i="5"/>
  <c r="R69" i="5" s="1"/>
  <c r="R70" i="5" s="1"/>
  <c r="C111" i="5"/>
  <c r="R94" i="5" s="1"/>
  <c r="R95" i="5" s="1"/>
  <c r="R96" i="5" s="1"/>
  <c r="N18" i="8"/>
  <c r="P61" i="8"/>
  <c r="B61" i="8"/>
  <c r="G61" i="8"/>
  <c r="L61" i="8"/>
  <c r="N119" i="5"/>
  <c r="K125" i="5" s="1"/>
  <c r="M125" i="5" s="1"/>
  <c r="N125" i="5" s="1"/>
  <c r="O29" i="8"/>
  <c r="E30" i="12"/>
  <c r="D30" i="12" s="1"/>
  <c r="E30" i="1"/>
  <c r="D30" i="1" s="1"/>
  <c r="E30" i="10"/>
  <c r="D30" i="10" s="1"/>
  <c r="E30" i="11"/>
  <c r="D30" i="11" s="1"/>
  <c r="P52" i="8"/>
  <c r="L52" i="8"/>
  <c r="G52" i="8"/>
  <c r="B52" i="8"/>
  <c r="L54" i="8"/>
  <c r="P54" i="8"/>
  <c r="G54" i="8"/>
  <c r="B54" i="8"/>
  <c r="D22" i="1"/>
  <c r="D22" i="11"/>
  <c r="B43" i="8"/>
  <c r="O32" i="8" s="1"/>
  <c r="D22" i="10"/>
  <c r="D22" i="12"/>
  <c r="O34" i="8"/>
  <c r="R36" i="5"/>
  <c r="C112" i="5" s="1"/>
  <c r="R72" i="5"/>
  <c r="R73" i="5" s="1"/>
  <c r="C110" i="5"/>
  <c r="R118" i="5"/>
  <c r="R119" i="5" s="1"/>
  <c r="R120" i="5" s="1"/>
  <c r="Q16" i="5"/>
  <c r="R194" i="5"/>
  <c r="R165" i="5"/>
  <c r="R166" i="5" s="1"/>
  <c r="R167" i="5"/>
  <c r="O31" i="8" l="1"/>
  <c r="L67" i="8" s="1"/>
  <c r="P65" i="8"/>
  <c r="B65" i="8"/>
  <c r="G65" i="8"/>
  <c r="L65" i="8"/>
  <c r="K19" i="10"/>
  <c r="K35" i="10" s="1"/>
  <c r="K45" i="10" s="1"/>
  <c r="G20" i="10"/>
  <c r="E32" i="10"/>
  <c r="D32" i="10" s="1"/>
  <c r="G22" i="10"/>
  <c r="F22" i="10" s="1"/>
  <c r="K17" i="10"/>
  <c r="E24" i="10"/>
  <c r="E29" i="10"/>
  <c r="D29" i="10" s="1"/>
  <c r="K20" i="10"/>
  <c r="D25" i="10"/>
  <c r="E25" i="10" s="1"/>
  <c r="I53" i="10"/>
  <c r="I51" i="10"/>
  <c r="H51" i="10" s="1"/>
  <c r="K39" i="10"/>
  <c r="I39" i="10" s="1"/>
  <c r="E50" i="10"/>
  <c r="D50" i="10" s="1"/>
  <c r="K21" i="10"/>
  <c r="E54" i="10"/>
  <c r="D54" i="10" s="1"/>
  <c r="I32" i="10"/>
  <c r="E53" i="10"/>
  <c r="D53" i="10" s="1"/>
  <c r="I24" i="10"/>
  <c r="G21" i="10"/>
  <c r="F21" i="10" s="1"/>
  <c r="I31" i="10"/>
  <c r="E51" i="10"/>
  <c r="D51" i="10" s="1"/>
  <c r="D23" i="10"/>
  <c r="H23" i="10"/>
  <c r="G19" i="10"/>
  <c r="G17" i="10"/>
  <c r="F17" i="10" s="1"/>
  <c r="E38" i="10"/>
  <c r="D28" i="10"/>
  <c r="E28" i="10" s="1"/>
  <c r="G68" i="8"/>
  <c r="L68" i="8"/>
  <c r="P68" i="8"/>
  <c r="B68" i="8"/>
  <c r="G70" i="8"/>
  <c r="L70" i="8"/>
  <c r="B70" i="8"/>
  <c r="P70" i="8"/>
  <c r="I53" i="11"/>
  <c r="G21" i="11"/>
  <c r="E24" i="11"/>
  <c r="D24" i="11" s="1"/>
  <c r="E54" i="11"/>
  <c r="I51" i="11"/>
  <c r="H51" i="11" s="1"/>
  <c r="G20" i="11"/>
  <c r="D27" i="11"/>
  <c r="Q37" i="11" s="1"/>
  <c r="K39" i="11"/>
  <c r="I39" i="11" s="1"/>
  <c r="D25" i="11"/>
  <c r="I32" i="11"/>
  <c r="K21" i="11"/>
  <c r="J21" i="11" s="1"/>
  <c r="I24" i="11"/>
  <c r="E53" i="11"/>
  <c r="K19" i="11"/>
  <c r="E29" i="11"/>
  <c r="D29" i="11" s="1"/>
  <c r="K20" i="11"/>
  <c r="E50" i="11"/>
  <c r="D50" i="11" s="1"/>
  <c r="G22" i="11"/>
  <c r="F22" i="11" s="1"/>
  <c r="E32" i="11"/>
  <c r="D32" i="11" s="1"/>
  <c r="K17" i="11"/>
  <c r="E51" i="11"/>
  <c r="D51" i="11" s="1"/>
  <c r="H23" i="11"/>
  <c r="I23" i="11" s="1"/>
  <c r="I31" i="11"/>
  <c r="H31" i="11" s="1"/>
  <c r="G19" i="11"/>
  <c r="G17" i="11"/>
  <c r="F17" i="11" s="1"/>
  <c r="D23" i="11"/>
  <c r="E38" i="11"/>
  <c r="D38" i="11" s="1"/>
  <c r="D28" i="11"/>
  <c r="D48" i="11"/>
  <c r="E48" i="11" s="1"/>
  <c r="D27" i="12"/>
  <c r="G22" i="12"/>
  <c r="F22" i="12" s="1"/>
  <c r="F17" i="12"/>
  <c r="R142" i="5"/>
  <c r="R143" i="5" s="1"/>
  <c r="R144" i="5" s="1"/>
  <c r="I32" i="1"/>
  <c r="H32" i="1" s="1"/>
  <c r="E29" i="1"/>
  <c r="D29" i="1" s="1"/>
  <c r="D25" i="1"/>
  <c r="I24" i="1"/>
  <c r="H24" i="1" s="1"/>
  <c r="E24" i="1"/>
  <c r="D24" i="1" s="1"/>
  <c r="D27" i="1"/>
  <c r="K20" i="1"/>
  <c r="J20" i="1" s="1"/>
  <c r="K21" i="1"/>
  <c r="K19" i="1"/>
  <c r="E54" i="1"/>
  <c r="F22" i="1"/>
  <c r="F20" i="1"/>
  <c r="I53" i="1"/>
  <c r="E53" i="1"/>
  <c r="D53" i="1" s="1"/>
  <c r="G21" i="1"/>
  <c r="I51" i="1"/>
  <c r="H51" i="1" s="1"/>
  <c r="E50" i="1"/>
  <c r="D50" i="1" s="1"/>
  <c r="E51" i="1"/>
  <c r="D51" i="1" s="1"/>
  <c r="I31" i="1"/>
  <c r="H31" i="1" s="1"/>
  <c r="K17" i="1"/>
  <c r="E23" i="1"/>
  <c r="F17" i="1"/>
  <c r="I23" i="1"/>
  <c r="E38" i="1"/>
  <c r="D38" i="1" s="1"/>
  <c r="P53" i="8"/>
  <c r="G53" i="8"/>
  <c r="B53" i="8"/>
  <c r="L53" i="8"/>
  <c r="D27" i="10"/>
  <c r="Q37" i="10" s="1"/>
  <c r="I53" i="12"/>
  <c r="H53" i="12" s="1"/>
  <c r="I51" i="12"/>
  <c r="H51" i="12" s="1"/>
  <c r="E50" i="12"/>
  <c r="D50" i="12" s="1"/>
  <c r="D25" i="12"/>
  <c r="E25" i="12" s="1"/>
  <c r="K21" i="12"/>
  <c r="J21" i="12" s="1"/>
  <c r="K20" i="12"/>
  <c r="J20" i="12" s="1"/>
  <c r="K19" i="12"/>
  <c r="D54" i="11"/>
  <c r="D53" i="11"/>
  <c r="H32" i="11"/>
  <c r="H24" i="11"/>
  <c r="F21" i="11"/>
  <c r="F20" i="11"/>
  <c r="D54" i="1"/>
  <c r="D32" i="1"/>
  <c r="J21" i="1"/>
  <c r="E25" i="1"/>
  <c r="E54" i="12"/>
  <c r="D54" i="12" s="1"/>
  <c r="E29" i="12"/>
  <c r="D29" i="12" s="1"/>
  <c r="G20" i="12"/>
  <c r="F20" i="12" s="1"/>
  <c r="E25" i="11"/>
  <c r="J20" i="11"/>
  <c r="D24" i="10"/>
  <c r="E53" i="12"/>
  <c r="D53" i="12" s="1"/>
  <c r="I32" i="12"/>
  <c r="H32" i="12" s="1"/>
  <c r="E32" i="12"/>
  <c r="D32" i="12" s="1"/>
  <c r="I24" i="12"/>
  <c r="H24" i="12" s="1"/>
  <c r="E24" i="12"/>
  <c r="D24" i="12" s="1"/>
  <c r="H23" i="12"/>
  <c r="D23" i="12"/>
  <c r="E23" i="12" s="1"/>
  <c r="G21" i="12"/>
  <c r="F21" i="12" s="1"/>
  <c r="K17" i="12"/>
  <c r="H53" i="11"/>
  <c r="H53" i="1"/>
  <c r="G19" i="12"/>
  <c r="H32" i="10"/>
  <c r="F20" i="10"/>
  <c r="E23" i="11"/>
  <c r="E51" i="12"/>
  <c r="D51" i="12" s="1"/>
  <c r="I31" i="12"/>
  <c r="H31" i="12" s="1"/>
  <c r="H53" i="10"/>
  <c r="H31" i="10"/>
  <c r="H24" i="10"/>
  <c r="J21" i="10"/>
  <c r="J20" i="10"/>
  <c r="E23" i="10"/>
  <c r="E38" i="12"/>
  <c r="D38" i="12" s="1"/>
  <c r="I23" i="10"/>
  <c r="I35" i="10" s="1"/>
  <c r="I45" i="10" s="1"/>
  <c r="D38" i="10"/>
  <c r="E28" i="11"/>
  <c r="D28" i="12"/>
  <c r="E28" i="12" s="1"/>
  <c r="D48" i="12"/>
  <c r="E48" i="12" s="1"/>
  <c r="H73" i="8"/>
  <c r="Q52" i="5"/>
  <c r="R97" i="5"/>
  <c r="R145" i="5"/>
  <c r="R121" i="5"/>
  <c r="R71" i="5"/>
  <c r="F21" i="1" l="1"/>
  <c r="E36" i="1"/>
  <c r="E43" i="1" s="1"/>
  <c r="E34" i="1"/>
  <c r="I35" i="11"/>
  <c r="K35" i="11"/>
  <c r="H35" i="10"/>
  <c r="K35" i="12"/>
  <c r="I23" i="12"/>
  <c r="H35" i="12"/>
  <c r="H35" i="11"/>
  <c r="F19" i="10"/>
  <c r="J19" i="10"/>
  <c r="J35" i="10" s="1"/>
  <c r="K59" i="10"/>
  <c r="P58" i="10"/>
  <c r="H17" i="10"/>
  <c r="J17" i="10"/>
  <c r="Q58" i="12"/>
  <c r="I39" i="12"/>
  <c r="H39" i="12" s="1"/>
  <c r="J39" i="12"/>
  <c r="Q58" i="1"/>
  <c r="J39" i="1"/>
  <c r="H17" i="11"/>
  <c r="J17" i="11"/>
  <c r="Q20" i="12"/>
  <c r="Q20" i="1"/>
  <c r="Q21" i="1" s="1"/>
  <c r="Q24" i="1" s="1"/>
  <c r="H17" i="1"/>
  <c r="J17" i="1"/>
  <c r="Q40" i="10"/>
  <c r="G48" i="10" s="1"/>
  <c r="F48" i="10" s="1"/>
  <c r="D48" i="10" s="1"/>
  <c r="E48" i="10" s="1"/>
  <c r="E27" i="10"/>
  <c r="Q37" i="1"/>
  <c r="G48" i="1" s="1"/>
  <c r="F48" i="1" s="1"/>
  <c r="D48" i="1" s="1"/>
  <c r="E48" i="1" s="1"/>
  <c r="E27" i="1"/>
  <c r="E34" i="11"/>
  <c r="E34" i="10"/>
  <c r="Q20" i="10"/>
  <c r="F19" i="11"/>
  <c r="F19" i="1"/>
  <c r="F19" i="12"/>
  <c r="J19" i="11"/>
  <c r="J35" i="11" s="1"/>
  <c r="P58" i="11"/>
  <c r="K59" i="11"/>
  <c r="Q58" i="11"/>
  <c r="H39" i="11"/>
  <c r="J39" i="11"/>
  <c r="H17" i="12"/>
  <c r="J17" i="12"/>
  <c r="I35" i="1"/>
  <c r="H39" i="10"/>
  <c r="Q58" i="10"/>
  <c r="J39" i="10"/>
  <c r="Q20" i="11"/>
  <c r="J19" i="12"/>
  <c r="K59" i="12"/>
  <c r="P58" i="12"/>
  <c r="K35" i="1"/>
  <c r="P58" i="1" s="1"/>
  <c r="J19" i="1"/>
  <c r="K59" i="1"/>
  <c r="Q37" i="12"/>
  <c r="Q40" i="12" s="1"/>
  <c r="E27" i="12"/>
  <c r="E43" i="12" s="1"/>
  <c r="Q40" i="11"/>
  <c r="E27" i="11"/>
  <c r="E36" i="11" s="1"/>
  <c r="E43" i="11" s="1"/>
  <c r="J45" i="10" l="1"/>
  <c r="H45" i="10"/>
  <c r="I59" i="12"/>
  <c r="R59" i="12"/>
  <c r="R61" i="12" s="1"/>
  <c r="N70" i="12" s="1"/>
  <c r="P69" i="12" s="1"/>
  <c r="J35" i="12"/>
  <c r="I35" i="12"/>
  <c r="I59" i="11"/>
  <c r="R59" i="10"/>
  <c r="R61" i="10" s="1"/>
  <c r="N70" i="10" s="1"/>
  <c r="P69" i="10" s="1"/>
  <c r="N70" i="1"/>
  <c r="O69" i="12"/>
  <c r="H59" i="11"/>
  <c r="H59" i="1"/>
  <c r="R59" i="11"/>
  <c r="R61" i="11" s="1"/>
  <c r="N70" i="11" s="1"/>
  <c r="I59" i="10"/>
  <c r="Q21" i="10"/>
  <c r="J59" i="10"/>
  <c r="E36" i="10"/>
  <c r="E43" i="10" s="1"/>
  <c r="J35" i="1"/>
  <c r="J59" i="1"/>
  <c r="Q21" i="11"/>
  <c r="I59" i="1"/>
  <c r="J59" i="11"/>
  <c r="H59" i="10"/>
  <c r="Q21" i="12"/>
  <c r="O69" i="10" l="1"/>
  <c r="Q24" i="12"/>
  <c r="G26" i="12" s="1"/>
  <c r="Q24" i="11"/>
  <c r="G26" i="11" s="1"/>
  <c r="G26" i="1"/>
  <c r="G34" i="1" s="1"/>
  <c r="O69" i="11"/>
  <c r="P69" i="11"/>
  <c r="S69" i="10"/>
  <c r="R69" i="10"/>
  <c r="Q24" i="10"/>
  <c r="G26" i="10" s="1"/>
  <c r="R69" i="12"/>
  <c r="S69" i="12"/>
  <c r="G36" i="12" l="1"/>
  <c r="G43" i="12" s="1"/>
  <c r="G34" i="12"/>
  <c r="S69" i="1"/>
  <c r="K41" i="1" s="1"/>
  <c r="I41" i="1" s="1"/>
  <c r="S70" i="10"/>
  <c r="T70" i="10" s="1"/>
  <c r="K41" i="10" s="1"/>
  <c r="I41" i="10" s="1"/>
  <c r="F26" i="11"/>
  <c r="G36" i="11"/>
  <c r="V46" i="11" s="1"/>
  <c r="X46" i="11" s="1"/>
  <c r="X48" i="11" s="1"/>
  <c r="G34" i="11"/>
  <c r="F26" i="12"/>
  <c r="S70" i="12"/>
  <c r="T70" i="12" s="1"/>
  <c r="K41" i="12" s="1"/>
  <c r="F26" i="10"/>
  <c r="G34" i="10"/>
  <c r="G36" i="10"/>
  <c r="S69" i="11"/>
  <c r="S70" i="11" s="1"/>
  <c r="T70" i="11" s="1"/>
  <c r="K41" i="11" s="1"/>
  <c r="R69" i="11"/>
  <c r="F26" i="1"/>
  <c r="D26" i="1" s="1"/>
  <c r="G36" i="1"/>
  <c r="G43" i="1" s="1"/>
  <c r="G56" i="1" l="1"/>
  <c r="D34" i="1"/>
  <c r="D36" i="1"/>
  <c r="J41" i="1"/>
  <c r="K58" i="1"/>
  <c r="I41" i="11"/>
  <c r="I41" i="12"/>
  <c r="J41" i="12"/>
  <c r="V46" i="10"/>
  <c r="G43" i="10"/>
  <c r="G56" i="10" s="1"/>
  <c r="D26" i="12"/>
  <c r="F36" i="12"/>
  <c r="F43" i="12" s="1"/>
  <c r="F56" i="12" s="1"/>
  <c r="F34" i="12"/>
  <c r="J58" i="1"/>
  <c r="J41" i="10"/>
  <c r="K58" i="10"/>
  <c r="V46" i="1"/>
  <c r="F34" i="1"/>
  <c r="F36" i="1"/>
  <c r="F43" i="1" s="1"/>
  <c r="F56" i="1" s="1"/>
  <c r="J41" i="11"/>
  <c r="K58" i="11"/>
  <c r="D26" i="10"/>
  <c r="F36" i="10"/>
  <c r="F43" i="10" s="1"/>
  <c r="F34" i="10"/>
  <c r="V46" i="12"/>
  <c r="G56" i="12"/>
  <c r="G43" i="11"/>
  <c r="G56" i="11" s="1"/>
  <c r="T54" i="11"/>
  <c r="D26" i="11"/>
  <c r="D34" i="11" s="1"/>
  <c r="F36" i="11"/>
  <c r="F43" i="11" s="1"/>
  <c r="F56" i="11" s="1"/>
  <c r="D56" i="11" s="1"/>
  <c r="F34" i="11"/>
  <c r="H41" i="1"/>
  <c r="I58" i="1"/>
  <c r="T54" i="10" l="1"/>
  <c r="U54" i="10" s="1"/>
  <c r="V54" i="10" s="1"/>
  <c r="X46" i="10"/>
  <c r="X48" i="10" s="1"/>
  <c r="T54" i="12"/>
  <c r="D36" i="11"/>
  <c r="D43" i="11" s="1"/>
  <c r="D36" i="10"/>
  <c r="D43" i="10" s="1"/>
  <c r="D34" i="10"/>
  <c r="H41" i="11"/>
  <c r="I58" i="11"/>
  <c r="H41" i="10"/>
  <c r="I58" i="10"/>
  <c r="H58" i="1"/>
  <c r="U54" i="11"/>
  <c r="F56" i="10"/>
  <c r="D56" i="10" s="1"/>
  <c r="J58" i="11"/>
  <c r="J58" i="10"/>
  <c r="D56" i="12"/>
  <c r="H41" i="12"/>
  <c r="T54" i="1" l="1"/>
  <c r="U54" i="1" s="1"/>
  <c r="V54" i="11"/>
  <c r="X53" i="11" s="1"/>
  <c r="Y53" i="10"/>
  <c r="Y54" i="10" s="1"/>
  <c r="Z54" i="10" s="1"/>
  <c r="G40" i="10" s="1"/>
  <c r="X53" i="10"/>
  <c r="Y53" i="12"/>
  <c r="G40" i="12" s="1"/>
  <c r="H58" i="10"/>
  <c r="H58" i="11"/>
  <c r="Y53" i="11" l="1"/>
  <c r="V54" i="1"/>
  <c r="X53" i="1"/>
  <c r="Y53" i="1"/>
  <c r="Y54" i="11"/>
  <c r="Z54" i="11" s="1"/>
  <c r="G40" i="11" s="1"/>
  <c r="E40" i="10"/>
  <c r="E40" i="12"/>
  <c r="F40" i="12"/>
  <c r="G59" i="12"/>
  <c r="G58" i="12"/>
  <c r="G44" i="12"/>
  <c r="K46" i="12" s="1"/>
  <c r="F40" i="10"/>
  <c r="G59" i="10"/>
  <c r="G58" i="10"/>
  <c r="G44" i="10"/>
  <c r="Y54" i="1" l="1"/>
  <c r="Z54" i="1" s="1"/>
  <c r="G40" i="1" s="1"/>
  <c r="F40" i="11"/>
  <c r="F59" i="11" s="1"/>
  <c r="G59" i="11"/>
  <c r="G44" i="11"/>
  <c r="G58" i="11"/>
  <c r="E40" i="11"/>
  <c r="E44" i="11" s="1"/>
  <c r="G52" i="10"/>
  <c r="G55" i="10"/>
  <c r="F58" i="10"/>
  <c r="F59" i="10"/>
  <c r="F44" i="10"/>
  <c r="G55" i="12"/>
  <c r="G52" i="12"/>
  <c r="K56" i="12"/>
  <c r="D40" i="12"/>
  <c r="E44" i="12"/>
  <c r="F58" i="11"/>
  <c r="D40" i="10"/>
  <c r="E59" i="10"/>
  <c r="E58" i="10"/>
  <c r="E44" i="10"/>
  <c r="F59" i="12"/>
  <c r="F58" i="12"/>
  <c r="F44" i="12"/>
  <c r="G60" i="10" l="1"/>
  <c r="G58" i="1"/>
  <c r="G44" i="1"/>
  <c r="G52" i="1" s="1"/>
  <c r="E40" i="1"/>
  <c r="G59" i="1"/>
  <c r="F40" i="1"/>
  <c r="E58" i="1"/>
  <c r="G52" i="11"/>
  <c r="F44" i="11"/>
  <c r="F55" i="11" s="1"/>
  <c r="G55" i="11"/>
  <c r="G60" i="11" s="1"/>
  <c r="G55" i="1"/>
  <c r="K56" i="1"/>
  <c r="E59" i="11"/>
  <c r="D40" i="11"/>
  <c r="D59" i="11" s="1"/>
  <c r="E58" i="11"/>
  <c r="G60" i="12"/>
  <c r="G60" i="1"/>
  <c r="E55" i="11"/>
  <c r="E52" i="11"/>
  <c r="F52" i="12"/>
  <c r="J56" i="12"/>
  <c r="F55" i="12"/>
  <c r="F60" i="12" s="1"/>
  <c r="I56" i="1"/>
  <c r="K55" i="1"/>
  <c r="I56" i="12"/>
  <c r="E55" i="12"/>
  <c r="E52" i="12"/>
  <c r="K55" i="12"/>
  <c r="K52" i="12"/>
  <c r="K56" i="10"/>
  <c r="K46" i="10"/>
  <c r="K52" i="10" s="1"/>
  <c r="K55" i="10"/>
  <c r="J56" i="1"/>
  <c r="K46" i="11"/>
  <c r="K52" i="11" s="1"/>
  <c r="K56" i="11"/>
  <c r="K55" i="11"/>
  <c r="E52" i="10"/>
  <c r="E55" i="10"/>
  <c r="D59" i="10"/>
  <c r="D58" i="10"/>
  <c r="D44" i="10"/>
  <c r="F52" i="11"/>
  <c r="D59" i="12"/>
  <c r="F52" i="10"/>
  <c r="F55" i="10"/>
  <c r="F60" i="10" s="1"/>
  <c r="F44" i="1" l="1"/>
  <c r="F58" i="1"/>
  <c r="F59" i="1"/>
  <c r="E44" i="1"/>
  <c r="D40" i="1"/>
  <c r="E59" i="1"/>
  <c r="D58" i="11"/>
  <c r="K52" i="1"/>
  <c r="D44" i="11"/>
  <c r="D55" i="11" s="1"/>
  <c r="E60" i="10"/>
  <c r="K60" i="10"/>
  <c r="K60" i="12"/>
  <c r="E60" i="11"/>
  <c r="K60" i="11"/>
  <c r="F60" i="11"/>
  <c r="K60" i="1"/>
  <c r="D52" i="12"/>
  <c r="D55" i="12"/>
  <c r="H56" i="1"/>
  <c r="D55" i="10"/>
  <c r="D52" i="10"/>
  <c r="J55" i="1"/>
  <c r="J46" i="1"/>
  <c r="J52" i="1" s="1"/>
  <c r="J56" i="10"/>
  <c r="J55" i="10"/>
  <c r="J46" i="10"/>
  <c r="J52" i="10" s="1"/>
  <c r="J46" i="11"/>
  <c r="J52" i="11" s="1"/>
  <c r="J55" i="11"/>
  <c r="J56" i="11"/>
  <c r="I56" i="10"/>
  <c r="I55" i="10"/>
  <c r="I46" i="10"/>
  <c r="I52" i="10" s="1"/>
  <c r="I55" i="12"/>
  <c r="I46" i="12"/>
  <c r="I52" i="12" s="1"/>
  <c r="I46" i="1"/>
  <c r="I52" i="1" s="1"/>
  <c r="I55" i="1"/>
  <c r="J46" i="12"/>
  <c r="J52" i="12" s="1"/>
  <c r="J55" i="12"/>
  <c r="D52" i="11"/>
  <c r="H56" i="11"/>
  <c r="I46" i="11"/>
  <c r="I52" i="11" s="1"/>
  <c r="I55" i="11"/>
  <c r="I56" i="11"/>
  <c r="J60" i="10" l="1"/>
  <c r="E60" i="1"/>
  <c r="D58" i="1"/>
  <c r="F55" i="1"/>
  <c r="F52" i="1"/>
  <c r="I60" i="10"/>
  <c r="D60" i="10"/>
  <c r="J60" i="12"/>
  <c r="I60" i="12"/>
  <c r="D60" i="12"/>
  <c r="I60" i="11"/>
  <c r="D60" i="11"/>
  <c r="J60" i="11"/>
  <c r="J60" i="1"/>
  <c r="H46" i="11"/>
  <c r="H52" i="11" s="1"/>
  <c r="H55" i="11"/>
  <c r="H56" i="10"/>
  <c r="H46" i="10"/>
  <c r="H52" i="10" s="1"/>
  <c r="H55" i="10"/>
  <c r="I60" i="1"/>
  <c r="H52" i="1"/>
  <c r="H55" i="1"/>
  <c r="H46" i="12"/>
  <c r="H55" i="12"/>
  <c r="F60" i="1" l="1"/>
  <c r="D55" i="1"/>
  <c r="D52" i="1"/>
  <c r="H60" i="12"/>
  <c r="H60" i="11"/>
  <c r="H60" i="10"/>
  <c r="H60" i="1"/>
  <c r="D60" i="1" l="1"/>
</calcChain>
</file>

<file path=xl/sharedStrings.xml><?xml version="1.0" encoding="utf-8"?>
<sst xmlns="http://schemas.openxmlformats.org/spreadsheetml/2006/main" count="1480" uniqueCount="317">
  <si>
    <t>COSTOS</t>
  </si>
  <si>
    <t>MARITIMO</t>
  </si>
  <si>
    <t>PRECIO TOTAL</t>
  </si>
  <si>
    <t>COP</t>
  </si>
  <si>
    <t>USD</t>
  </si>
  <si>
    <t>AEREO</t>
  </si>
  <si>
    <t>EXW</t>
  </si>
  <si>
    <t>FAS</t>
  </si>
  <si>
    <t>FCA</t>
  </si>
  <si>
    <t>FOB</t>
  </si>
  <si>
    <t>CFR</t>
  </si>
  <si>
    <t>CIF</t>
  </si>
  <si>
    <t>CPT</t>
  </si>
  <si>
    <t>CIP</t>
  </si>
  <si>
    <t>DPU</t>
  </si>
  <si>
    <t>DAP</t>
  </si>
  <si>
    <t>DDP</t>
  </si>
  <si>
    <t>Ancho</t>
  </si>
  <si>
    <t>Largo</t>
  </si>
  <si>
    <t>Alto</t>
  </si>
  <si>
    <t>Peso</t>
  </si>
  <si>
    <t xml:space="preserve">Cantidad </t>
  </si>
  <si>
    <t>OPERACIÓN DE OPCIONES P.A</t>
  </si>
  <si>
    <t xml:space="preserve">CANTIDAD DE CAJAS </t>
  </si>
  <si>
    <t>CANTIDAD DE PALLET A</t>
  </si>
  <si>
    <t>PESO</t>
  </si>
  <si>
    <t>VOLUMEN</t>
  </si>
  <si>
    <t>RESULTADOS</t>
  </si>
  <si>
    <t xml:space="preserve">CAJAS </t>
  </si>
  <si>
    <t>TENDIDOS</t>
  </si>
  <si>
    <t xml:space="preserve">ALTURA DE PALLET </t>
  </si>
  <si>
    <t xml:space="preserve">Ancho </t>
  </si>
  <si>
    <t>Peso sin carga</t>
  </si>
  <si>
    <t>OPERACIONES DE OPCIONES P.E</t>
  </si>
  <si>
    <t>CANTIDAD DE CAJAS</t>
  </si>
  <si>
    <t>CANTIDAD DE PALLET E.</t>
  </si>
  <si>
    <t>CAJAS</t>
  </si>
  <si>
    <t>CONTENEDOR 20´ PALLET A.</t>
  </si>
  <si>
    <t>CANTIDAD DE PALLETS</t>
  </si>
  <si>
    <t>ALTURA DE PALLET</t>
  </si>
  <si>
    <t>% DE UTILIDAD</t>
  </si>
  <si>
    <t>Neto</t>
  </si>
  <si>
    <t>Capacidad m3</t>
  </si>
  <si>
    <t>CANTIDAD CONT.</t>
  </si>
  <si>
    <t xml:space="preserve">Alto con carga </t>
  </si>
  <si>
    <t>PALLET</t>
  </si>
  <si>
    <t xml:space="preserve">Peso con carga </t>
  </si>
  <si>
    <t>Cantidad de cajas</t>
  </si>
  <si>
    <t>Cantidad de pallets</t>
  </si>
  <si>
    <t>CONTENEDOR 20´ PALLET E.</t>
  </si>
  <si>
    <t>Alto con carga</t>
  </si>
  <si>
    <t>Cantidad de palets</t>
  </si>
  <si>
    <t>PALLETS</t>
  </si>
  <si>
    <t>CONTENEDOR 40´ PALLET A.</t>
  </si>
  <si>
    <t>CONTENEDOR 40´ PALLET E.</t>
  </si>
  <si>
    <t xml:space="preserve">CANTIDAD DE PALLETS </t>
  </si>
  <si>
    <t>CONTENEDOR 20´ SIN PALLET</t>
  </si>
  <si>
    <t>CANTIDAD DE CAJAS T.</t>
  </si>
  <si>
    <t>ALTURA DE CARGA</t>
  </si>
  <si>
    <t>CONTENEDOR 40´ SIN PALLET</t>
  </si>
  <si>
    <t xml:space="preserve"> </t>
  </si>
  <si>
    <t xml:space="preserve">NOMBRE </t>
  </si>
  <si>
    <t xml:space="preserve">DESCRIPCIÓN DEL PRODUCTO </t>
  </si>
  <si>
    <t>ORIGEN</t>
  </si>
  <si>
    <t xml:space="preserve">CONDICIONES DE MANIPULACIÓN </t>
  </si>
  <si>
    <t>DESCRIPCIÓN DEL PROCEOS DE ELABORACIÓN</t>
  </si>
  <si>
    <t xml:space="preserve">CARACTERISTICAS ORGANOLEPTICAS </t>
  </si>
  <si>
    <t>EMPAQUE Y PRESENTACIÓN COMERCIAL</t>
  </si>
  <si>
    <t xml:space="preserve">MANEJO Y TRANSPORTE </t>
  </si>
  <si>
    <t xml:space="preserve">Pulpa de Gulupa Refrigerada </t>
  </si>
  <si>
    <t>Producto natural, no concentrado ni fermentado, sin conservantes, sin preservantes, naturalmente libre de grasas, bajo en sodio, 100% pulpa de fruta.</t>
  </si>
  <si>
    <t xml:space="preserve">Colombia </t>
  </si>
  <si>
    <t>Los embalajes debes estar limpios y en buen estado, garantizando la conservación de las caracteristicas del producto, la persona encargada de la manipulación debe cumplir con los requisitos minimos, como: la limpieza, no utilizar joyas, contar con dotación requerida, entre otras.</t>
  </si>
  <si>
    <t>AROMA: intenso y caracteristico de la gulupa.  COLOR: intenso y homogeneo, puede presentar cambios de color por los procesos de oxidación naturales de la fruta. SABOR: caracteristico de la gulupa. APARIENCIA:  uniforme, libre de materiales extraños.</t>
  </si>
  <si>
    <t>Bolsa de polietileno en presentacion de 250 gr</t>
  </si>
  <si>
    <t>La pulpa es procesada cumpliendo con las buenas practicas de manufactura y el monitoreo de los puntos de control critico,  pasteurizada y almacenada en congelación -18°C, es sometida a un tratamiento termico el cual garantiza su inocuidad y estandares de calidad.</t>
  </si>
  <si>
    <t xml:space="preserve">Se transporta y almacena en condiciones congeladas -18°c, una vez descongelada se debe consumir en el menor tiempo posible, el producto se transporta en vehiculos apropiados para alimentos, el cual debe tener pisos, techos, carpas, entre otros, limpios y desinfectados, se debe evitar el almacenamiento con productos que puedan alterar sus caracteristicas o generar una contaminación cruzada, se deben evitar golpes o maltratos al empaque, el producto debe mantenerse alejado a la exposición directa del sol. </t>
  </si>
  <si>
    <t>Evergreen CAC</t>
  </si>
  <si>
    <t>Bogotá</t>
  </si>
  <si>
    <t>Cartagena</t>
  </si>
  <si>
    <t>New York</t>
  </si>
  <si>
    <t>EMBALAJE</t>
  </si>
  <si>
    <t xml:space="preserve"> PALLET AMERICANO</t>
  </si>
  <si>
    <t>PALLET EUROPEO</t>
  </si>
  <si>
    <t>CONTENEDOR 20´</t>
  </si>
  <si>
    <t>PALLET AMERICANO</t>
  </si>
  <si>
    <t xml:space="preserve"> CONTENEDOR 40´</t>
  </si>
  <si>
    <t xml:space="preserve"> CONTENEDOR 20´</t>
  </si>
  <si>
    <t>FICHA DE CARAC. P.A.</t>
  </si>
  <si>
    <t>FICHA DE CARAC. P.E.</t>
  </si>
  <si>
    <t>FICHA DE CARAC. CONT 20´</t>
  </si>
  <si>
    <t>FICHA DE CARAC. CONT 40´</t>
  </si>
  <si>
    <t>FCHA DE CARAC. CONT 40´</t>
  </si>
  <si>
    <t>ALTURA</t>
  </si>
  <si>
    <t xml:space="preserve">LAMINA ENTRE PALLET </t>
  </si>
  <si>
    <t>VENTILACIÓN</t>
  </si>
  <si>
    <t>ALTURA TOTAL</t>
  </si>
  <si>
    <t>Se selecciono el contenedor de 20´ con pallet Americano, ya que ofrece el mayor porcentaje de utilidad entre las opciones (68,37%), aunque el porcentaje que ofrece es muy bajo, por ende se planteo la posibilidad de colocar un pallet sobre otro, tanto el peso como el volumen lo permitian, pero al colocar un pallet de 1,79m de alto sobre otro con la misma altura, sobrepasa la medida interna del contenedor.</t>
  </si>
  <si>
    <t>Tambien se tubo en cuenta la psibilidad de disminuir la cantidad de tendidos que inicialmente son 9 tendidos, para que la altura no sobrepase la medida del contenedor se deben reducir a 4 tendidos, los dos pallets tendran una altura de 1,78 m, a este resultado se le debe sumar 0,20m del ancho que tendra una lamina que sera la encargada de amortiguar el peso del pallet, ademas se le debe sumar 0,25m que sera el espacio de ventilación par que el aire transite correctamente, en total tendria una altura de 2,23 m y el pocentaje de utilidad aumentaria a 85,17%., sin la sumatoria de lo anteriormente mensionado el contenedor de 20´ tendria un porcentaje de utilidad de 67,99%.</t>
  </si>
  <si>
    <t>FICHA TECNICA EMBARQUE #1</t>
  </si>
  <si>
    <t>FICHA TECNICA EMBARQUE #2</t>
  </si>
  <si>
    <t xml:space="preserve">FECHA DE INICIO </t>
  </si>
  <si>
    <t>CANTIDAD CONTENEDORES</t>
  </si>
  <si>
    <t xml:space="preserve">CANTIDAD  CONTENEDORES </t>
  </si>
  <si>
    <t>FECHA DE INCIO</t>
  </si>
  <si>
    <t>FICHA TECNICA EMBARQUE #3</t>
  </si>
  <si>
    <t>FICHA TECNICA EMBARQUE #4</t>
  </si>
  <si>
    <t>PROCESOS EMBARQUE #1</t>
  </si>
  <si>
    <t xml:space="preserve">Alistamiento </t>
  </si>
  <si>
    <t xml:space="preserve">Fecha de inicio </t>
  </si>
  <si>
    <t>PROCESO</t>
  </si>
  <si>
    <t>DURACIÓN</t>
  </si>
  <si>
    <t>FECHA INICIO</t>
  </si>
  <si>
    <t>FECHA FIN</t>
  </si>
  <si>
    <t>-</t>
  </si>
  <si>
    <t xml:space="preserve">LUGAR DE ENTREGA </t>
  </si>
  <si>
    <t>LUGAR DE ORIGEN</t>
  </si>
  <si>
    <t>NOMBRE DE NAVIERA - EMPRESA</t>
  </si>
  <si>
    <t>1 dia</t>
  </si>
  <si>
    <t>Logistica de transporte O</t>
  </si>
  <si>
    <t>O.P.A Origen</t>
  </si>
  <si>
    <t xml:space="preserve">2 dias </t>
  </si>
  <si>
    <t xml:space="preserve">Cartagena </t>
  </si>
  <si>
    <t>Coordinadora</t>
  </si>
  <si>
    <t>5 dias</t>
  </si>
  <si>
    <t xml:space="preserve">cartagena </t>
  </si>
  <si>
    <t>SPRC</t>
  </si>
  <si>
    <t>Logistica de transporte I</t>
  </si>
  <si>
    <t xml:space="preserve">13 dias </t>
  </si>
  <si>
    <t>O.P.A Destino</t>
  </si>
  <si>
    <t>3 dias</t>
  </si>
  <si>
    <t>puerto de New York</t>
  </si>
  <si>
    <t>Logistica de transporte D</t>
  </si>
  <si>
    <t>2 horas</t>
  </si>
  <si>
    <t>Hartford</t>
  </si>
  <si>
    <t>Recepción de mercancia</t>
  </si>
  <si>
    <t>Día de pago</t>
  </si>
  <si>
    <t>8 dias</t>
  </si>
  <si>
    <t>Florida Fresh</t>
  </si>
  <si>
    <t>PROCESOS EMBARQUE #2</t>
  </si>
  <si>
    <t>PROCESOS EMBARQUE #3</t>
  </si>
  <si>
    <t>PROCESOS EMBARQUE #4</t>
  </si>
  <si>
    <t xml:space="preserve">12 dias </t>
  </si>
  <si>
    <t xml:space="preserve">14 dias </t>
  </si>
  <si>
    <t xml:space="preserve">11 dias </t>
  </si>
  <si>
    <t xml:space="preserve">LOGISTICA DE TRANSPORTE EN ORIGEN </t>
  </si>
  <si>
    <t>LOGISTICA DE TRANSPORTE INTERNACIONAL</t>
  </si>
  <si>
    <t>LOGISTICA DE TRANSPORTE EN DESTINO</t>
  </si>
  <si>
    <t>EMBARQUE  1</t>
  </si>
  <si>
    <t>EMBARQUE  2</t>
  </si>
  <si>
    <t>EMBARQUE  3</t>
  </si>
  <si>
    <t>EMBARQUE  4</t>
  </si>
  <si>
    <t>26/05/2023  - 27/05/2023</t>
  </si>
  <si>
    <t>27/05/2023 - 29/05/2023</t>
  </si>
  <si>
    <t>29/05/2023 - 3/05/2023</t>
  </si>
  <si>
    <t>4/06/2023 - 17/06/2023</t>
  </si>
  <si>
    <t>17/06/2023 - 20/06/2023</t>
  </si>
  <si>
    <t>20/06/2023 - 20/06/2023</t>
  </si>
  <si>
    <t>20/06/2023 - 21/06/2023</t>
  </si>
  <si>
    <t>21/06/2023 - 29/06/2023</t>
  </si>
  <si>
    <t>9/06/2023  - 10/06/2023</t>
  </si>
  <si>
    <t>10/06/2023 - 12/06/2023</t>
  </si>
  <si>
    <t>12/06/2023 - 17/06/2023</t>
  </si>
  <si>
    <t>18/06/2023 - 29/06/2023</t>
  </si>
  <si>
    <t>29/06/2023 - 2/07/2023</t>
  </si>
  <si>
    <t>2/07/2023 - 2/07/2023</t>
  </si>
  <si>
    <t>2/07/2023 - 3/07/2023</t>
  </si>
  <si>
    <t>3/07/2023 - 11/07/2023</t>
  </si>
  <si>
    <t>13/07/2023 - 21/07/2023</t>
  </si>
  <si>
    <t>12/07/2023 - 13/07/2023</t>
  </si>
  <si>
    <t>12/07/2023 - 12/07/2023</t>
  </si>
  <si>
    <t>9/07/2023 - 12/07/2023</t>
  </si>
  <si>
    <t>25/06/2023 - 9/07/2023</t>
  </si>
  <si>
    <t>19/06/2023 - 24/06/2023</t>
  </si>
  <si>
    <t>16/06/2023 - 17/06/2023</t>
  </si>
  <si>
    <t>17/06/2023 - 19/07/2023</t>
  </si>
  <si>
    <t>30/06/2023 - 1/07/2023</t>
  </si>
  <si>
    <t>1/07/2023 - 3/07/2023</t>
  </si>
  <si>
    <t>3/07/2023 - 8/07/2023</t>
  </si>
  <si>
    <t>9/07/2023 - 21/07/2023</t>
  </si>
  <si>
    <t>21/07/2023 - 24/07/2023</t>
  </si>
  <si>
    <t>24/07/2023 - 24/07/2023</t>
  </si>
  <si>
    <t>24/07/2023 - 25/07/2023</t>
  </si>
  <si>
    <t>25/07/2023 - 2/08/2023</t>
  </si>
  <si>
    <t>TRM</t>
  </si>
  <si>
    <t xml:space="preserve">Aliatamiento de carga </t>
  </si>
  <si>
    <t>A.M</t>
  </si>
  <si>
    <t>L.T.O</t>
  </si>
  <si>
    <t>Transporte en origen</t>
  </si>
  <si>
    <t xml:space="preserve">operaciones aduaneras </t>
  </si>
  <si>
    <t>Transporte internacional</t>
  </si>
  <si>
    <t>L.T.I</t>
  </si>
  <si>
    <t xml:space="preserve">Operaciones portuarias </t>
  </si>
  <si>
    <t xml:space="preserve">O.P.A Destino </t>
  </si>
  <si>
    <t>L.T.D</t>
  </si>
  <si>
    <t>Transporte en destino</t>
  </si>
  <si>
    <t>R.M.C</t>
  </si>
  <si>
    <t>HORa</t>
  </si>
  <si>
    <t xml:space="preserve"> 2:24:00 </t>
  </si>
  <si>
    <t>Cl. 93 #28 No 11A, Bogotá</t>
  </si>
  <si>
    <t>Aeropuerto Internacional El Dorado - Bogotá ( BOG )</t>
  </si>
  <si>
    <t>23/05/2023  - 23/05/2023</t>
  </si>
  <si>
    <t>23/05/2023 - 23/05/2023</t>
  </si>
  <si>
    <t>23/05/2023 - 28/05/2023</t>
  </si>
  <si>
    <t>4/06/2023  - 4/04/2023</t>
  </si>
  <si>
    <t>4/06/2023 - 4/06/2023</t>
  </si>
  <si>
    <t>4/06/2023 - 9/06/2023</t>
  </si>
  <si>
    <t>16/06/2023  - 16/06/2023</t>
  </si>
  <si>
    <t>16/06/2023 - 16/06/2023</t>
  </si>
  <si>
    <t>16/06/2023 - 21/06/2023</t>
  </si>
  <si>
    <t>28/06/2023  - 28/06/2023</t>
  </si>
  <si>
    <t>28/06/2023 - 28/06/2023</t>
  </si>
  <si>
    <t>28/06/2023 - 3/07/2023</t>
  </si>
  <si>
    <t>FICHAS TECNICAS POR EMBARQUE</t>
  </si>
  <si>
    <t>INFORMACION DEL PRRODUCTO</t>
  </si>
  <si>
    <t xml:space="preserve">MATRIZ DE COSTEO DFI </t>
  </si>
  <si>
    <t>PRECIO UNIDAD DE VENTA</t>
  </si>
  <si>
    <t>PRECIO  TOTAL</t>
  </si>
  <si>
    <t>PAÍS ORÍGEN</t>
  </si>
  <si>
    <t>Empaque de pulpa</t>
  </si>
  <si>
    <t xml:space="preserve">Caja de carton corrugado </t>
  </si>
  <si>
    <t>Marcado cajas exportación</t>
  </si>
  <si>
    <t>Paletización</t>
  </si>
  <si>
    <t>Registro sanitario INVIMA</t>
  </si>
  <si>
    <t xml:space="preserve">Seguro interno Colombia </t>
  </si>
  <si>
    <t>Transporte Bogotá - SPRC</t>
  </si>
  <si>
    <t>Agente aduanero Cartagena</t>
  </si>
  <si>
    <t>Muisca agente aduanero</t>
  </si>
  <si>
    <t>Servicio SPRC</t>
  </si>
  <si>
    <t>Operador portuario Colombia</t>
  </si>
  <si>
    <t>Contrato de comodato</t>
  </si>
  <si>
    <t xml:space="preserve">Agente de carga aeropuerto origen </t>
  </si>
  <si>
    <t xml:space="preserve">Costos bancarios transferencia </t>
  </si>
  <si>
    <t>TRANSITO INTERNACIONAL</t>
  </si>
  <si>
    <t>Flete maritimo internacional</t>
  </si>
  <si>
    <t xml:space="preserve">Flete aereo internacional </t>
  </si>
  <si>
    <t>manejo aeropuerto destino</t>
  </si>
  <si>
    <t>PAÍS DESTINO</t>
  </si>
  <si>
    <t>Servicio puerto destino</t>
  </si>
  <si>
    <t>Operador portuario NEW YORK</t>
  </si>
  <si>
    <t>Registro sanitario FDA USA</t>
  </si>
  <si>
    <t>Gavamen USA</t>
  </si>
  <si>
    <t>Transporte NEW YORK - HARTFORD</t>
  </si>
  <si>
    <t>sobre costo inland</t>
  </si>
  <si>
    <t>TAX USA</t>
  </si>
  <si>
    <t>Transporte agente aduanero</t>
  </si>
  <si>
    <t>total</t>
  </si>
  <si>
    <t>LIQUIDACIÓN COSTO SERVICIO SPRC</t>
  </si>
  <si>
    <t>TOTAL</t>
  </si>
  <si>
    <t>Uso de instalaciones</t>
  </si>
  <si>
    <t xml:space="preserve">Llenado del contenedro </t>
  </si>
  <si>
    <t>Cargue al buque</t>
  </si>
  <si>
    <t>Almacenamiento</t>
  </si>
  <si>
    <t xml:space="preserve">Conexión </t>
  </si>
  <si>
    <t>LIQUIDACIÓN COSTO SERVICIO PUERTO DESTINO 23%</t>
  </si>
  <si>
    <t>LIQUIDACIÓN COSTO AGENTE ADUANERO 0,7%</t>
  </si>
  <si>
    <t>TRM MARITIMO</t>
  </si>
  <si>
    <t>TRM AEREO</t>
  </si>
  <si>
    <t xml:space="preserve">VALOR SERVICIO </t>
  </si>
  <si>
    <t>BAF</t>
  </si>
  <si>
    <t>COM</t>
  </si>
  <si>
    <t>HAN</t>
  </si>
  <si>
    <t>DOC</t>
  </si>
  <si>
    <t xml:space="preserve">flete </t>
  </si>
  <si>
    <t>DEDUCIBLE</t>
  </si>
  <si>
    <t xml:space="preserve">SUMA ASEGURADA </t>
  </si>
  <si>
    <t>SA</t>
  </si>
  <si>
    <t xml:space="preserve">PRIMA BASICA </t>
  </si>
  <si>
    <t>DERECHO DE EMISION</t>
  </si>
  <si>
    <t>IVA</t>
  </si>
  <si>
    <t>PB+DE</t>
  </si>
  <si>
    <t>TOTAL FLETE</t>
  </si>
  <si>
    <t xml:space="preserve">Seguro de mercancia maritimo </t>
  </si>
  <si>
    <t>Seguro de mercancia aereo</t>
  </si>
  <si>
    <t>vuelo #2</t>
  </si>
  <si>
    <t>Logistica de transporte I vuelo #1</t>
  </si>
  <si>
    <t>vuelo #3</t>
  </si>
  <si>
    <t>vuelo #4</t>
  </si>
  <si>
    <t>vuelo #5</t>
  </si>
  <si>
    <t>HORA</t>
  </si>
  <si>
    <t>AVIANCA</t>
  </si>
  <si>
    <t>vuelo #6</t>
  </si>
  <si>
    <t>vuelo #7</t>
  </si>
  <si>
    <t>vuelo #8</t>
  </si>
  <si>
    <t>vuelo #9</t>
  </si>
  <si>
    <t>4/06/2023 - 12/06/2023</t>
  </si>
  <si>
    <t>29/05/2023 - 31/05/2023</t>
  </si>
  <si>
    <t>31/05/2023 - 3/06/2023</t>
  </si>
  <si>
    <t>3/06/2023 - 3/06/2023</t>
  </si>
  <si>
    <t>3/06/2023 - 4/06/2023</t>
  </si>
  <si>
    <t>12/06/2023 - 15/06/2023</t>
  </si>
  <si>
    <t>15/06/2023 - 15/06/2023</t>
  </si>
  <si>
    <t>15/06/2023 - 16/06/2023</t>
  </si>
  <si>
    <t>16/06/2023 - 24/06/2023</t>
  </si>
  <si>
    <t>22/06/2023 - 24/06/2023</t>
  </si>
  <si>
    <t>24/06/2023 - 27/06/2023</t>
  </si>
  <si>
    <t>27/06/2023 - 27/06/2023</t>
  </si>
  <si>
    <t>27/06/2023 - 28/06/2023</t>
  </si>
  <si>
    <t>28/06/2023 - 6/07/2023</t>
  </si>
  <si>
    <t>8/07/2023 - 11/07/2023</t>
  </si>
  <si>
    <t>11/07/2023 - 11/07/2023</t>
  </si>
  <si>
    <t>11/07/2023 - 12/07/2023</t>
  </si>
  <si>
    <t>12/07/2023 - 20/07/2023</t>
  </si>
  <si>
    <t xml:space="preserve">Cargue al buque </t>
  </si>
  <si>
    <t>Descargue del buque</t>
  </si>
  <si>
    <t>VALOR DE LA POLIZA</t>
  </si>
  <si>
    <t>BASE GRAVABLE</t>
  </si>
  <si>
    <t xml:space="preserve"> TARIFARIO</t>
  </si>
  <si>
    <t xml:space="preserve">AGENTE ADUANERO </t>
  </si>
  <si>
    <t>FLETE MARITIMO</t>
  </si>
  <si>
    <t>VALOR DE POLIZA MARITIMA</t>
  </si>
  <si>
    <t>VALOR DE POLIZA AEREA</t>
  </si>
  <si>
    <t>Broker New York</t>
  </si>
  <si>
    <t xml:space="preserve">PALLETS POR COONTENEDOR </t>
  </si>
  <si>
    <t>SUMA ASEGURADA AEREA</t>
  </si>
  <si>
    <t>SUMA ASEGURADA MARITIMA</t>
  </si>
  <si>
    <t xml:space="preserve">TOTAL DE CAJAS ENVIADAS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</si>
</sst>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5">
    <numFmt numFmtId="42" formatCode="_-&quot;$&quot;* #,##0_-;\-&quot;$&quot;* #,##0_-;_-&quot;$&quot;* &quot;-&quot;_-;_-@_-"/>
    <numFmt numFmtId="41" formatCode="_-* #,##0_-;\-* #,##0_-;_-* &quot;-&quot;_-;_-@_-"/>
    <numFmt numFmtId="44" formatCode="_-&quot;$&quot;* #,##0.00_-;\-&quot;$&quot;* #,##0.00_-;_-&quot;$&quot;* &quot;-&quot;??_-;_-@_-"/>
    <numFmt numFmtId="164" formatCode="0.0"/>
    <numFmt numFmtId="165" formatCode="General\ &quot;m&quot;"/>
    <numFmt numFmtId="166" formatCode="General\ &quot;kg&quot;"/>
    <numFmt numFmtId="167" formatCode="General\ &quot;unidades&quot;"/>
    <numFmt numFmtId="168" formatCode="General\ &quot;m3&quot;"/>
    <numFmt numFmtId="169" formatCode="General\ &quot;pallets&quot;"/>
    <numFmt numFmtId="170" formatCode="General\ &quot;tendidos&quot;"/>
    <numFmt numFmtId="171" formatCode="General\ &quot;contenedores&quot;"/>
    <numFmt numFmtId="172" formatCode="d/mm/yyyy\ h:mm\ AM/PM"/>
    <numFmt numFmtId="173" formatCode="General\ &quot;horas&quot;"/>
    <numFmt numFmtId="174" formatCode="h:mm;@"/>
    <numFmt numFmtId="175" formatCode="hh:mm:ss;@"/>
    <numFmt numFmtId="176" formatCode="h:mm:ss;@"/>
    <numFmt numFmtId="177" formatCode="_([$$-240A]\ * #,##0.00_);_([$$-240A]\ * \(#,##0.00\);_([$$-240A]\ * &quot;-&quot;??_);_(@_)"/>
    <numFmt numFmtId="178" formatCode="_-[$$-409]* #,##0.00_ ;_-[$$-409]* \-#,##0.00\ ;_-[$$-409]* &quot;-&quot;??_ ;_-@_ "/>
    <numFmt numFmtId="179" formatCode="_-&quot;$&quot;* #,##0.000_-;\-&quot;$&quot;* #,##0.000_-;_-&quot;$&quot;* &quot;-&quot;???_-;_-@_-"/>
    <numFmt numFmtId="180" formatCode="_-&quot;$&quot;* #,##0.0_-;\-&quot;$&quot;* #,##0.0_-;_-&quot;$&quot;* &quot;-&quot;?_-;_-@_-"/>
    <numFmt numFmtId="181" formatCode="_-[$USD]\ * #,##0.00_-;\-[$USD]\ * #,##0.00_-;_-[$USD]\ * &quot;-&quot;??_-;_-@_-"/>
    <numFmt numFmtId="182" formatCode="_-[$USD]\ * #,##0.0000_-;\-[$USD]\ * #,##0.0000_-;_-[$USD]\ * &quot;-&quot;??_-;_-@_-"/>
    <numFmt numFmtId="183" formatCode="_-[$USD]\ * #,##0.000_-;\-[$USD]\ * #,##0.000_-;_-[$USD]\ * &quot;-&quot;???_-;_-@_-"/>
    <numFmt numFmtId="184" formatCode="0.0%"/>
    <numFmt numFmtId="185" formatCode="_-[$USD]\ * #,##0_-;\-[$USD]\ * #,##0_-;_-[$USD]\ * &quot;-&quot;??_-;_-@_-"/>
  </numFmts>
  <fonts count="7" x14ac:knownFonts="1">
    <font>
      <sz val="11"/>
      <color theme="1"/>
      <name val="Calibri"/>
      <family val="2"/>
      <scheme val="minor"/>
    </font>
    <font>
      <sz val="11"/>
      <color theme="1"/>
      <name val="Calibri"/>
      <family val="2"/>
      <scheme val="minor"/>
    </font>
    <font>
      <sz val="10"/>
      <color theme="1"/>
      <name val="Calibri"/>
      <family val="2"/>
      <scheme val="minor"/>
    </font>
    <font>
      <sz val="12"/>
      <color theme="1"/>
      <name val="Calibri"/>
      <family val="2"/>
      <scheme val="minor"/>
    </font>
    <font>
      <sz val="16"/>
      <color theme="1"/>
      <name val="Calibri"/>
      <family val="2"/>
      <scheme val="minor"/>
    </font>
    <font>
      <sz val="10"/>
      <color theme="1"/>
      <name val="Calibri"/>
      <family val="2"/>
      <scheme val="minor"/>
    </font>
    <font>
      <b/>
      <sz val="11"/>
      <color theme="1"/>
      <name val="Calibri"/>
      <family val="2"/>
      <scheme val="minor"/>
    </font>
  </fonts>
  <fills count="15">
    <fill>
      <patternFill patternType="none"/>
    </fill>
    <fill>
      <patternFill patternType="gray125"/>
    </fill>
    <fill>
      <patternFill patternType="solid">
        <fgColor theme="9" tint="0.59999389629810485"/>
        <bgColor indexed="64"/>
      </patternFill>
    </fill>
    <fill>
      <patternFill patternType="solid">
        <fgColor theme="2" tint="-9.9978637043366805E-2"/>
        <bgColor indexed="64"/>
      </patternFill>
    </fill>
    <fill>
      <patternFill patternType="solid">
        <fgColor theme="8" tint="0.79995117038483843"/>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theme="4" tint="0.59999389629810485"/>
        <bgColor indexed="64"/>
      </patternFill>
    </fill>
    <fill>
      <patternFill patternType="solid">
        <fgColor rgb="FF00B0F0"/>
        <bgColor indexed="64"/>
      </patternFill>
    </fill>
    <fill>
      <patternFill patternType="solid">
        <fgColor theme="0"/>
        <bgColor indexed="64"/>
      </patternFill>
    </fill>
    <fill>
      <patternFill patternType="solid">
        <fgColor theme="0" tint="-0.14999847407452621"/>
        <bgColor indexed="64"/>
      </patternFill>
    </fill>
    <fill>
      <patternFill patternType="solid">
        <fgColor theme="6" tint="0.59999389629810485"/>
        <bgColor indexed="64"/>
      </patternFill>
    </fill>
    <fill>
      <patternFill patternType="solid">
        <fgColor theme="0"/>
        <bgColor rgb="FF008080"/>
      </patternFill>
    </fill>
    <fill>
      <patternFill patternType="solid">
        <fgColor rgb="FF92D050"/>
        <bgColor indexed="64"/>
      </patternFill>
    </fill>
    <fill>
      <patternFill patternType="solid">
        <fgColor theme="6"/>
        <bgColor indexed="64"/>
      </patternFill>
    </fill>
  </fills>
  <borders count="51">
    <border>
      <left/>
      <right/>
      <top/>
      <bottom/>
      <diagonal/>
    </border>
    <border>
      <left style="thin">
        <color indexed="64"/>
      </left>
      <right style="thin">
        <color indexed="64"/>
      </right>
      <top style="thin">
        <color indexed="64"/>
      </top>
      <bottom style="thin">
        <color indexed="64"/>
      </bottom>
      <diagonal/>
    </border>
    <border>
      <left/>
      <right style="thin">
        <color indexed="64"/>
      </right>
      <top/>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right style="thin">
        <color indexed="64"/>
      </right>
      <top/>
      <bottom style="thin">
        <color indexed="64"/>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right style="medium">
        <color indexed="64"/>
      </right>
      <top style="thin">
        <color indexed="64"/>
      </top>
      <bottom style="thin">
        <color indexed="64"/>
      </bottom>
      <diagonal/>
    </border>
    <border>
      <left/>
      <right style="thin">
        <color indexed="64"/>
      </right>
      <top style="thin">
        <color indexed="64"/>
      </top>
      <bottom/>
      <diagonal/>
    </border>
    <border>
      <left style="thin">
        <color indexed="64"/>
      </left>
      <right style="medium">
        <color indexed="64"/>
      </right>
      <top style="thin">
        <color indexed="64"/>
      </top>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bottom/>
      <diagonal/>
    </border>
    <border>
      <left style="thin">
        <color indexed="64"/>
      </left>
      <right/>
      <top style="medium">
        <color indexed="64"/>
      </top>
      <bottom style="thin">
        <color indexed="64"/>
      </bottom>
      <diagonal/>
    </border>
    <border>
      <left style="medium">
        <color indexed="64"/>
      </left>
      <right style="thin">
        <color indexed="64"/>
      </right>
      <top style="thin">
        <color indexed="64"/>
      </top>
      <bottom/>
      <diagonal/>
    </border>
    <border>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style="medium">
        <color indexed="64"/>
      </left>
      <right/>
      <top style="medium">
        <color indexed="64"/>
      </top>
      <bottom/>
      <diagonal/>
    </border>
    <border>
      <left style="thin">
        <color indexed="64"/>
      </left>
      <right style="medium">
        <color indexed="64"/>
      </right>
      <top style="medium">
        <color indexed="64"/>
      </top>
      <bottom style="thin">
        <color indexed="64"/>
      </bottom>
      <diagonal/>
    </border>
    <border>
      <left/>
      <right style="thin">
        <color indexed="64"/>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style="thin">
        <color indexed="64"/>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bottom style="thin">
        <color indexed="64"/>
      </bottom>
      <diagonal/>
    </border>
    <border>
      <left style="medium">
        <color indexed="64"/>
      </left>
      <right/>
      <top/>
      <bottom style="medium">
        <color indexed="64"/>
      </bottom>
      <diagonal/>
    </border>
    <border>
      <left/>
      <right/>
      <top/>
      <bottom style="medium">
        <color indexed="64"/>
      </bottom>
      <diagonal/>
    </border>
    <border>
      <left/>
      <right/>
      <top style="thin">
        <color indexed="64"/>
      </top>
      <bottom/>
      <diagonal/>
    </border>
    <border>
      <left style="thin">
        <color indexed="64"/>
      </left>
      <right style="medium">
        <color indexed="64"/>
      </right>
      <top/>
      <bottom/>
      <diagonal/>
    </border>
    <border>
      <left style="medium">
        <color indexed="64"/>
      </left>
      <right style="thin">
        <color indexed="64"/>
      </right>
      <top/>
      <bottom style="thin">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diagonal/>
    </border>
    <border>
      <left style="thin">
        <color indexed="64"/>
      </left>
      <right/>
      <top style="thin">
        <color indexed="64"/>
      </top>
      <bottom/>
      <diagonal/>
    </border>
    <border>
      <left/>
      <right/>
      <top/>
      <bottom style="thin">
        <color indexed="64"/>
      </bottom>
      <diagonal/>
    </border>
    <border>
      <left/>
      <right style="thin">
        <color indexed="64"/>
      </right>
      <top/>
      <bottom style="medium">
        <color indexed="64"/>
      </bottom>
      <diagonal/>
    </border>
    <border>
      <left style="medium">
        <color indexed="64"/>
      </left>
      <right/>
      <top style="thin">
        <color indexed="64"/>
      </top>
      <bottom style="medium">
        <color indexed="64"/>
      </bottom>
      <diagonal/>
    </border>
    <border>
      <left/>
      <right/>
      <top style="thin">
        <color indexed="64"/>
      </top>
      <bottom style="medium">
        <color indexed="64"/>
      </bottom>
      <diagonal/>
    </border>
    <border>
      <left/>
      <right style="medium">
        <color indexed="64"/>
      </right>
      <top style="thin">
        <color indexed="64"/>
      </top>
      <bottom style="medium">
        <color indexed="64"/>
      </bottom>
      <diagonal/>
    </border>
    <border>
      <left style="thin">
        <color indexed="64"/>
      </left>
      <right/>
      <top/>
      <bottom style="thin">
        <color indexed="64"/>
      </bottom>
      <diagonal/>
    </border>
  </borders>
  <cellStyleXfs count="5">
    <xf numFmtId="0" fontId="0" fillId="0" borderId="0"/>
    <xf numFmtId="9" fontId="1" fillId="0" borderId="0" applyFont="0" applyFill="0" applyBorder="0" applyAlignment="0" applyProtection="0"/>
    <xf numFmtId="41" fontId="1" fillId="0" borderId="0" applyFont="0" applyFill="0" applyBorder="0" applyAlignment="0" applyProtection="0"/>
    <xf numFmtId="44" fontId="1" fillId="0" borderId="0" applyFont="0" applyFill="0" applyBorder="0" applyAlignment="0" applyProtection="0"/>
    <xf numFmtId="42" fontId="1" fillId="0" borderId="0" applyFont="0" applyFill="0" applyBorder="0" applyAlignment="0" applyProtection="0"/>
  </cellStyleXfs>
  <cellXfs count="372">
    <xf numFmtId="0" fontId="0" fillId="0" borderId="0" xfId="0"/>
    <xf numFmtId="0" fontId="0" fillId="0" borderId="1" xfId="0" applyBorder="1"/>
    <xf numFmtId="0" fontId="0" fillId="0" borderId="1" xfId="0" applyBorder="1" applyAlignment="1">
      <alignment horizontal="center"/>
    </xf>
    <xf numFmtId="0" fontId="0" fillId="0" borderId="1" xfId="0" applyBorder="1" applyAlignment="1">
      <alignment horizontal="center" vertical="center"/>
    </xf>
    <xf numFmtId="0" fontId="0" fillId="0" borderId="4" xfId="0" applyBorder="1"/>
    <xf numFmtId="0" fontId="0" fillId="0" borderId="1" xfId="0" applyBorder="1" applyAlignment="1">
      <alignment vertical="center"/>
    </xf>
    <xf numFmtId="2" fontId="0" fillId="0" borderId="0" xfId="0" applyNumberFormat="1"/>
    <xf numFmtId="164" fontId="0" fillId="0" borderId="1" xfId="0" applyNumberFormat="1" applyBorder="1"/>
    <xf numFmtId="2" fontId="0" fillId="0" borderId="1" xfId="0" applyNumberFormat="1" applyBorder="1"/>
    <xf numFmtId="2" fontId="0" fillId="0" borderId="1" xfId="0" applyNumberFormat="1" applyBorder="1" applyAlignment="1">
      <alignment horizontal="center" vertical="center"/>
    </xf>
    <xf numFmtId="0" fontId="0" fillId="0" borderId="1" xfId="0" applyBorder="1" applyAlignment="1">
      <alignment horizontal="center" vertical="center" wrapText="1"/>
    </xf>
    <xf numFmtId="1" fontId="0" fillId="0" borderId="1" xfId="0" applyNumberFormat="1" applyBorder="1" applyAlignment="1">
      <alignment horizontal="center" vertical="center"/>
    </xf>
    <xf numFmtId="9" fontId="0" fillId="0" borderId="1" xfId="1" applyFont="1" applyBorder="1"/>
    <xf numFmtId="0" fontId="0" fillId="0" borderId="0" xfId="0" applyFill="1" applyBorder="1"/>
    <xf numFmtId="1" fontId="0" fillId="0" borderId="0" xfId="0" applyNumberFormat="1" applyFill="1" applyBorder="1"/>
    <xf numFmtId="0" fontId="0" fillId="0" borderId="0" xfId="0" applyAlignment="1"/>
    <xf numFmtId="14" fontId="0" fillId="0" borderId="1" xfId="0" applyNumberFormat="1" applyBorder="1"/>
    <xf numFmtId="0" fontId="0" fillId="0" borderId="0" xfId="0" applyAlignment="1">
      <alignment horizontal="center"/>
    </xf>
    <xf numFmtId="0" fontId="0" fillId="0" borderId="0" xfId="0" applyAlignment="1">
      <alignment horizontal="center" vertical="center" wrapText="1"/>
    </xf>
    <xf numFmtId="0" fontId="0" fillId="0" borderId="1" xfId="0" applyBorder="1" applyAlignment="1">
      <alignment horizontal="left" vertical="center" wrapText="1"/>
    </xf>
    <xf numFmtId="0" fontId="0" fillId="0" borderId="0" xfId="0" applyAlignment="1">
      <alignment horizontal="left" vertical="center" wrapText="1"/>
    </xf>
    <xf numFmtId="0" fontId="0" fillId="0" borderId="1" xfId="0" applyBorder="1" applyAlignment="1">
      <alignment horizontal="center" vertical="center"/>
    </xf>
    <xf numFmtId="0" fontId="0" fillId="0" borderId="1" xfId="0" applyBorder="1" applyAlignment="1">
      <alignment horizontal="center"/>
    </xf>
    <xf numFmtId="0" fontId="0" fillId="0" borderId="0" xfId="0" applyAlignment="1">
      <alignment horizontal="center"/>
    </xf>
    <xf numFmtId="0" fontId="0" fillId="0" borderId="8" xfId="0" applyBorder="1"/>
    <xf numFmtId="2" fontId="0" fillId="0" borderId="1" xfId="0" applyNumberFormat="1" applyBorder="1" applyAlignment="1">
      <alignment horizontal="center"/>
    </xf>
    <xf numFmtId="165" fontId="0" fillId="0" borderId="1" xfId="0" applyNumberFormat="1" applyBorder="1"/>
    <xf numFmtId="166" fontId="0" fillId="0" borderId="1" xfId="0" applyNumberFormat="1" applyBorder="1"/>
    <xf numFmtId="167" fontId="0" fillId="0" borderId="1" xfId="0" applyNumberFormat="1" applyBorder="1"/>
    <xf numFmtId="0" fontId="0" fillId="0" borderId="0" xfId="0" applyBorder="1"/>
    <xf numFmtId="168" fontId="0" fillId="0" borderId="1" xfId="0" applyNumberFormat="1" applyBorder="1"/>
    <xf numFmtId="169" fontId="0" fillId="0" borderId="1" xfId="0" applyNumberFormat="1" applyBorder="1"/>
    <xf numFmtId="166" fontId="0" fillId="0" borderId="8" xfId="0" applyNumberFormat="1" applyBorder="1" applyAlignment="1">
      <alignment horizontal="center"/>
    </xf>
    <xf numFmtId="168" fontId="0" fillId="0" borderId="8" xfId="0" applyNumberFormat="1" applyBorder="1" applyAlignment="1">
      <alignment horizontal="center"/>
    </xf>
    <xf numFmtId="170" fontId="0" fillId="0" borderId="1" xfId="0" applyNumberFormat="1" applyBorder="1"/>
    <xf numFmtId="165" fontId="0" fillId="0" borderId="1" xfId="0" applyNumberFormat="1" applyFont="1" applyBorder="1"/>
    <xf numFmtId="170" fontId="0" fillId="0" borderId="0" xfId="0" applyNumberFormat="1" applyAlignment="1">
      <alignment horizontal="center"/>
    </xf>
    <xf numFmtId="165" fontId="0" fillId="0" borderId="0" xfId="0" applyNumberFormat="1" applyAlignment="1">
      <alignment horizontal="center"/>
    </xf>
    <xf numFmtId="41" fontId="0" fillId="0" borderId="1" xfId="2" applyFont="1" applyBorder="1"/>
    <xf numFmtId="164" fontId="0" fillId="0" borderId="4" xfId="0" applyNumberFormat="1" applyBorder="1"/>
    <xf numFmtId="0" fontId="0" fillId="0" borderId="0" xfId="0" applyAlignment="1">
      <alignment wrapText="1"/>
    </xf>
    <xf numFmtId="0" fontId="0" fillId="0" borderId="0" xfId="0" applyAlignment="1">
      <alignment vertical="top" wrapText="1"/>
    </xf>
    <xf numFmtId="171" fontId="0" fillId="0" borderId="1" xfId="0" applyNumberFormat="1" applyBorder="1"/>
    <xf numFmtId="0" fontId="0" fillId="0" borderId="1" xfId="0" applyFill="1" applyBorder="1"/>
    <xf numFmtId="0" fontId="0" fillId="0" borderId="0" xfId="0" applyAlignment="1">
      <alignment vertical="top"/>
    </xf>
    <xf numFmtId="14" fontId="0" fillId="0" borderId="1" xfId="0" applyNumberFormat="1" applyBorder="1" applyAlignment="1">
      <alignment horizontal="center"/>
    </xf>
    <xf numFmtId="0" fontId="0" fillId="0" borderId="1" xfId="0" applyFill="1" applyBorder="1" applyAlignment="1">
      <alignment horizontal="center"/>
    </xf>
    <xf numFmtId="0" fontId="0" fillId="0" borderId="0" xfId="0" applyBorder="1" applyAlignment="1">
      <alignment horizontal="center"/>
    </xf>
    <xf numFmtId="0" fontId="0" fillId="0" borderId="1" xfId="0" applyBorder="1" applyAlignment="1">
      <alignment horizontal="center"/>
    </xf>
    <xf numFmtId="14" fontId="0" fillId="0" borderId="1" xfId="0" applyNumberFormat="1" applyBorder="1" applyAlignment="1">
      <alignment horizontal="center"/>
    </xf>
    <xf numFmtId="0" fontId="0" fillId="0" borderId="0" xfId="0" applyAlignment="1">
      <alignment horizontal="center"/>
    </xf>
    <xf numFmtId="0" fontId="0" fillId="0" borderId="0" xfId="0" applyBorder="1" applyAlignment="1">
      <alignment horizontal="center"/>
    </xf>
    <xf numFmtId="172" fontId="0" fillId="0" borderId="0" xfId="0" applyNumberFormat="1" applyBorder="1" applyAlignment="1">
      <alignment horizontal="center"/>
    </xf>
    <xf numFmtId="173" fontId="0" fillId="0" borderId="1" xfId="0" applyNumberFormat="1" applyBorder="1" applyAlignment="1">
      <alignment horizontal="center"/>
    </xf>
    <xf numFmtId="175" fontId="0" fillId="0" borderId="1" xfId="0" applyNumberFormat="1" applyBorder="1" applyAlignment="1">
      <alignment horizontal="center"/>
    </xf>
    <xf numFmtId="176" fontId="0" fillId="0" borderId="1" xfId="0" applyNumberFormat="1" applyBorder="1" applyAlignment="1">
      <alignment horizontal="center"/>
    </xf>
    <xf numFmtId="0" fontId="0" fillId="0" borderId="1" xfId="0" applyBorder="1" applyAlignment="1">
      <alignment horizontal="center" vertical="top" wrapText="1"/>
    </xf>
    <xf numFmtId="0" fontId="0" fillId="0" borderId="0" xfId="0" applyBorder="1" applyAlignment="1">
      <alignment horizontal="center" vertical="top" wrapText="1"/>
    </xf>
    <xf numFmtId="172" fontId="0" fillId="0" borderId="0" xfId="0" applyNumberFormat="1" applyBorder="1" applyAlignment="1">
      <alignment horizontal="center" vertical="top" wrapText="1"/>
    </xf>
    <xf numFmtId="174" fontId="0" fillId="0" borderId="1" xfId="0" applyNumberFormat="1" applyBorder="1" applyAlignment="1">
      <alignment horizontal="center" vertical="top"/>
    </xf>
    <xf numFmtId="14" fontId="0" fillId="0" borderId="1" xfId="0" applyNumberFormat="1" applyBorder="1" applyAlignment="1">
      <alignment horizontal="center" vertical="top"/>
    </xf>
    <xf numFmtId="176" fontId="0" fillId="0" borderId="1" xfId="0" applyNumberFormat="1" applyBorder="1" applyAlignment="1">
      <alignment horizontal="center" vertical="top"/>
    </xf>
    <xf numFmtId="175" fontId="0" fillId="0" borderId="1" xfId="0" applyNumberFormat="1" applyBorder="1" applyAlignment="1">
      <alignment horizontal="center" vertical="top"/>
    </xf>
    <xf numFmtId="0" fontId="0" fillId="0" borderId="1" xfId="0" applyBorder="1" applyAlignment="1">
      <alignment horizontal="center" vertical="top"/>
    </xf>
    <xf numFmtId="173" fontId="0" fillId="0" borderId="1" xfId="0" applyNumberFormat="1" applyBorder="1" applyAlignment="1">
      <alignment horizontal="center" vertical="top"/>
    </xf>
    <xf numFmtId="0" fontId="0" fillId="0" borderId="0" xfId="0" applyBorder="1" applyAlignment="1">
      <alignment vertical="top"/>
    </xf>
    <xf numFmtId="0" fontId="0" fillId="9" borderId="0" xfId="0" applyFill="1"/>
    <xf numFmtId="0" fontId="6" fillId="0" borderId="15" xfId="0" applyFont="1" applyBorder="1" applyAlignment="1">
      <alignment horizontal="center"/>
    </xf>
    <xf numFmtId="0" fontId="6" fillId="0" borderId="16" xfId="0" applyFont="1" applyBorder="1" applyAlignment="1">
      <alignment horizontal="center"/>
    </xf>
    <xf numFmtId="0" fontId="6" fillId="0" borderId="21" xfId="0" applyFont="1" applyBorder="1" applyAlignment="1">
      <alignment horizontal="center"/>
    </xf>
    <xf numFmtId="44" fontId="6" fillId="11" borderId="22" xfId="3" applyFont="1" applyFill="1" applyBorder="1"/>
    <xf numFmtId="177" fontId="6" fillId="11" borderId="22" xfId="0" applyNumberFormat="1" applyFont="1" applyFill="1" applyBorder="1"/>
    <xf numFmtId="177" fontId="6" fillId="11" borderId="24" xfId="0" applyNumberFormat="1" applyFont="1" applyFill="1" applyBorder="1"/>
    <xf numFmtId="44" fontId="6" fillId="9" borderId="0" xfId="3" applyFont="1" applyFill="1" applyBorder="1"/>
    <xf numFmtId="0" fontId="6" fillId="9" borderId="0" xfId="0" applyFont="1" applyFill="1"/>
    <xf numFmtId="0" fontId="0" fillId="9" borderId="0" xfId="0" applyFill="1" applyBorder="1"/>
    <xf numFmtId="0" fontId="0" fillId="0" borderId="1" xfId="0" applyFont="1" applyFill="1" applyBorder="1" applyAlignment="1"/>
    <xf numFmtId="44" fontId="0" fillId="0" borderId="1" xfId="0" applyNumberFormat="1" applyBorder="1"/>
    <xf numFmtId="0" fontId="0" fillId="0" borderId="9" xfId="0" applyFill="1" applyBorder="1"/>
    <xf numFmtId="0" fontId="0" fillId="11" borderId="1" xfId="0" applyFill="1" applyBorder="1"/>
    <xf numFmtId="0" fontId="0" fillId="0" borderId="0" xfId="0" applyFill="1"/>
    <xf numFmtId="44" fontId="0" fillId="0" borderId="1" xfId="0" applyNumberFormat="1" applyFill="1" applyBorder="1"/>
    <xf numFmtId="44" fontId="0" fillId="0" borderId="11" xfId="4" applyNumberFormat="1" applyFont="1" applyBorder="1"/>
    <xf numFmtId="44" fontId="0" fillId="0" borderId="26" xfId="4" applyNumberFormat="1" applyFont="1" applyBorder="1"/>
    <xf numFmtId="44" fontId="0" fillId="0" borderId="27" xfId="4" applyNumberFormat="1" applyFont="1" applyBorder="1"/>
    <xf numFmtId="44" fontId="0" fillId="0" borderId="28" xfId="4" applyNumberFormat="1" applyFont="1" applyBorder="1"/>
    <xf numFmtId="44" fontId="0" fillId="0" borderId="29" xfId="4" applyNumberFormat="1" applyFont="1" applyBorder="1"/>
    <xf numFmtId="44" fontId="0" fillId="0" borderId="0" xfId="4" applyNumberFormat="1" applyFont="1"/>
    <xf numFmtId="44" fontId="0" fillId="0" borderId="31" xfId="4" applyNumberFormat="1" applyFont="1" applyBorder="1"/>
    <xf numFmtId="44" fontId="0" fillId="0" borderId="7" xfId="4" applyNumberFormat="1" applyFont="1" applyBorder="1"/>
    <xf numFmtId="44" fontId="0" fillId="0" borderId="1" xfId="4" applyNumberFormat="1" applyFont="1" applyBorder="1"/>
    <xf numFmtId="44" fontId="0" fillId="0" borderId="1" xfId="4" applyNumberFormat="1" applyFont="1" applyFill="1" applyBorder="1" applyAlignment="1"/>
    <xf numFmtId="44" fontId="0" fillId="0" borderId="5" xfId="4" applyNumberFormat="1" applyFont="1" applyBorder="1"/>
    <xf numFmtId="44" fontId="0" fillId="0" borderId="0" xfId="4" applyNumberFormat="1" applyFont="1" applyBorder="1"/>
    <xf numFmtId="44" fontId="0" fillId="11" borderId="1" xfId="4" applyNumberFormat="1" applyFont="1" applyFill="1" applyBorder="1"/>
    <xf numFmtId="44" fontId="0" fillId="11" borderId="3" xfId="4" applyNumberFormat="1" applyFont="1" applyFill="1" applyBorder="1"/>
    <xf numFmtId="44" fontId="0" fillId="11" borderId="19" xfId="4" applyNumberFormat="1" applyFont="1" applyFill="1" applyBorder="1"/>
    <xf numFmtId="44" fontId="0" fillId="0" borderId="3" xfId="4" applyNumberFormat="1" applyFont="1" applyBorder="1"/>
    <xf numFmtId="44" fontId="0" fillId="0" borderId="2" xfId="4" applyNumberFormat="1" applyFont="1" applyBorder="1"/>
    <xf numFmtId="44" fontId="0" fillId="0" borderId="37" xfId="4" applyNumberFormat="1" applyFont="1" applyBorder="1"/>
    <xf numFmtId="44" fontId="0" fillId="11" borderId="22" xfId="4" applyNumberFormat="1" applyFont="1" applyFill="1" applyBorder="1"/>
    <xf numFmtId="44" fontId="0" fillId="11" borderId="24" xfId="4" applyNumberFormat="1" applyFont="1" applyFill="1" applyBorder="1"/>
    <xf numFmtId="44" fontId="0" fillId="11" borderId="39" xfId="4" applyNumberFormat="1" applyFont="1" applyFill="1" applyBorder="1"/>
    <xf numFmtId="44" fontId="0" fillId="11" borderId="40" xfId="4" applyNumberFormat="1" applyFont="1" applyFill="1" applyBorder="1"/>
    <xf numFmtId="44" fontId="0" fillId="0" borderId="41" xfId="4" applyNumberFormat="1" applyFont="1" applyBorder="1"/>
    <xf numFmtId="44" fontId="0" fillId="0" borderId="43" xfId="4" applyNumberFormat="1" applyFont="1" applyBorder="1"/>
    <xf numFmtId="44" fontId="0" fillId="0" borderId="30" xfId="4" applyNumberFormat="1" applyFont="1" applyBorder="1"/>
    <xf numFmtId="14" fontId="0" fillId="0" borderId="1" xfId="0" applyNumberFormat="1" applyBorder="1" applyAlignment="1">
      <alignment horizontal="center" vertical="top"/>
    </xf>
    <xf numFmtId="0" fontId="0" fillId="0" borderId="1" xfId="0" applyBorder="1" applyAlignment="1">
      <alignment horizontal="center" vertical="center"/>
    </xf>
    <xf numFmtId="0" fontId="0" fillId="0" borderId="0" xfId="0" applyAlignment="1">
      <alignment horizontal="center"/>
    </xf>
    <xf numFmtId="14" fontId="0" fillId="0" borderId="1" xfId="0" applyNumberFormat="1" applyBorder="1" applyAlignment="1">
      <alignment horizontal="center" vertical="top"/>
    </xf>
    <xf numFmtId="0" fontId="0" fillId="0" borderId="1" xfId="0" applyBorder="1" applyAlignment="1">
      <alignment horizontal="center" vertical="top"/>
    </xf>
    <xf numFmtId="0" fontId="0" fillId="0" borderId="1" xfId="0" applyBorder="1" applyAlignment="1">
      <alignment horizontal="center" vertical="center" wrapText="1"/>
    </xf>
    <xf numFmtId="42" fontId="0" fillId="0" borderId="1" xfId="0" applyNumberFormat="1" applyBorder="1"/>
    <xf numFmtId="10" fontId="0" fillId="0" borderId="1" xfId="0" applyNumberFormat="1" applyBorder="1"/>
    <xf numFmtId="0" fontId="0" fillId="7" borderId="1" xfId="0" applyFill="1" applyBorder="1"/>
    <xf numFmtId="0" fontId="0" fillId="7" borderId="1" xfId="0" applyFill="1" applyBorder="1" applyAlignment="1">
      <alignment horizontal="center"/>
    </xf>
    <xf numFmtId="9" fontId="0" fillId="0" borderId="1" xfId="0" applyNumberFormat="1" applyBorder="1"/>
    <xf numFmtId="0" fontId="0" fillId="13" borderId="1" xfId="0" applyFill="1" applyBorder="1" applyAlignment="1">
      <alignment horizontal="center"/>
    </xf>
    <xf numFmtId="180" fontId="0" fillId="0" borderId="1" xfId="0" applyNumberFormat="1" applyBorder="1"/>
    <xf numFmtId="179" fontId="0" fillId="0" borderId="1" xfId="0" applyNumberFormat="1" applyBorder="1"/>
    <xf numFmtId="42" fontId="0" fillId="0" borderId="0" xfId="0" applyNumberFormat="1" applyBorder="1"/>
    <xf numFmtId="176" fontId="0" fillId="0" borderId="0" xfId="0" applyNumberFormat="1" applyAlignment="1">
      <alignment horizontal="center" vertical="center"/>
    </xf>
    <xf numFmtId="0" fontId="0" fillId="0" borderId="0" xfId="0" applyAlignment="1">
      <alignment vertical="center"/>
    </xf>
    <xf numFmtId="174" fontId="0" fillId="0" borderId="1" xfId="0" applyNumberFormat="1" applyBorder="1" applyAlignment="1">
      <alignment horizontal="center" vertical="center"/>
    </xf>
    <xf numFmtId="14" fontId="0" fillId="0" borderId="1" xfId="0" applyNumberFormat="1" applyBorder="1" applyAlignment="1">
      <alignment horizontal="center" vertical="center"/>
    </xf>
    <xf numFmtId="176" fontId="0" fillId="0" borderId="1" xfId="0" applyNumberFormat="1" applyBorder="1" applyAlignment="1">
      <alignment horizontal="center" vertical="center"/>
    </xf>
    <xf numFmtId="175" fontId="0" fillId="0" borderId="1" xfId="0" applyNumberFormat="1" applyBorder="1" applyAlignment="1">
      <alignment horizontal="center" vertical="center"/>
    </xf>
    <xf numFmtId="173" fontId="0" fillId="0" borderId="1" xfId="0" applyNumberFormat="1" applyBorder="1" applyAlignment="1">
      <alignment horizontal="center" vertical="center"/>
    </xf>
    <xf numFmtId="173" fontId="0" fillId="0" borderId="1" xfId="0" applyNumberFormat="1" applyFill="1" applyBorder="1" applyAlignment="1">
      <alignment horizontal="center" vertical="center"/>
    </xf>
    <xf numFmtId="14" fontId="0" fillId="0" borderId="1" xfId="0" applyNumberFormat="1" applyFill="1" applyBorder="1" applyAlignment="1">
      <alignment horizontal="center" vertical="center"/>
    </xf>
    <xf numFmtId="176" fontId="0" fillId="0" borderId="1" xfId="0" applyNumberFormat="1" applyFill="1" applyBorder="1" applyAlignment="1">
      <alignment horizontal="center" vertical="center"/>
    </xf>
    <xf numFmtId="175" fontId="0" fillId="0" borderId="1" xfId="0" applyNumberFormat="1" applyFill="1" applyBorder="1" applyAlignment="1">
      <alignment horizontal="center" vertical="center"/>
    </xf>
    <xf numFmtId="0" fontId="0" fillId="0" borderId="0" xfId="0" applyFill="1" applyAlignment="1">
      <alignment vertical="center"/>
    </xf>
    <xf numFmtId="44" fontId="0" fillId="0" borderId="0" xfId="0" applyNumberFormat="1" applyBorder="1" applyAlignment="1">
      <alignment vertical="top"/>
    </xf>
    <xf numFmtId="44" fontId="0" fillId="0" borderId="1" xfId="0" applyNumberFormat="1" applyBorder="1" applyAlignment="1">
      <alignment vertical="top"/>
    </xf>
    <xf numFmtId="0" fontId="0" fillId="0" borderId="0" xfId="0" applyBorder="1" applyAlignment="1"/>
    <xf numFmtId="42" fontId="0" fillId="0" borderId="0" xfId="0" applyNumberFormat="1" applyBorder="1" applyAlignment="1"/>
    <xf numFmtId="44" fontId="0" fillId="0" borderId="1" xfId="0" applyNumberFormat="1" applyBorder="1" applyAlignment="1"/>
    <xf numFmtId="0" fontId="6" fillId="0" borderId="1" xfId="0" applyFont="1" applyBorder="1" applyAlignment="1">
      <alignment horizontal="center"/>
    </xf>
    <xf numFmtId="167" fontId="0" fillId="0" borderId="0" xfId="0" applyNumberFormat="1"/>
    <xf numFmtId="44" fontId="0" fillId="0" borderId="7" xfId="4" applyNumberFormat="1" applyFont="1" applyFill="1" applyBorder="1" applyAlignment="1"/>
    <xf numFmtId="44" fontId="0" fillId="0" borderId="4" xfId="0" applyNumberFormat="1" applyBorder="1" applyAlignment="1"/>
    <xf numFmtId="0" fontId="0" fillId="7" borderId="7" xfId="0" applyFill="1" applyBorder="1" applyAlignment="1">
      <alignment horizontal="center"/>
    </xf>
    <xf numFmtId="0" fontId="0" fillId="0" borderId="1" xfId="0" applyBorder="1" applyAlignment="1">
      <alignment horizontal="center"/>
    </xf>
    <xf numFmtId="0" fontId="0" fillId="0" borderId="0" xfId="0" applyBorder="1" applyAlignment="1">
      <alignment horizontal="center"/>
    </xf>
    <xf numFmtId="0" fontId="0" fillId="9" borderId="0" xfId="0" applyFill="1" applyBorder="1" applyAlignment="1">
      <alignment horizontal="center" vertical="center" wrapText="1"/>
    </xf>
    <xf numFmtId="0" fontId="0" fillId="0" borderId="1" xfId="0" applyBorder="1" applyAlignment="1">
      <alignment horizontal="center"/>
    </xf>
    <xf numFmtId="0" fontId="0" fillId="7" borderId="7" xfId="0" applyFill="1" applyBorder="1" applyAlignment="1">
      <alignment horizontal="center"/>
    </xf>
    <xf numFmtId="0" fontId="0" fillId="0" borderId="0" xfId="0" applyBorder="1" applyAlignment="1">
      <alignment horizontal="center"/>
    </xf>
    <xf numFmtId="0" fontId="0" fillId="9" borderId="0" xfId="0" applyFill="1" applyBorder="1" applyAlignment="1">
      <alignment horizontal="center" vertical="center" wrapText="1"/>
    </xf>
    <xf numFmtId="9" fontId="0" fillId="0" borderId="1" xfId="0" applyNumberFormat="1" applyBorder="1" applyAlignment="1">
      <alignment horizontal="center"/>
    </xf>
    <xf numFmtId="0" fontId="0" fillId="0" borderId="8" xfId="0" applyFill="1" applyBorder="1"/>
    <xf numFmtId="42" fontId="0" fillId="0" borderId="0" xfId="0" applyNumberFormat="1"/>
    <xf numFmtId="44" fontId="0" fillId="0" borderId="7" xfId="4" applyNumberFormat="1" applyFont="1" applyFill="1" applyBorder="1"/>
    <xf numFmtId="0" fontId="6" fillId="14" borderId="1" xfId="0" applyFont="1" applyFill="1" applyBorder="1"/>
    <xf numFmtId="44" fontId="0" fillId="0" borderId="1" xfId="4" applyNumberFormat="1" applyFont="1" applyFill="1" applyBorder="1"/>
    <xf numFmtId="44" fontId="0" fillId="0" borderId="43" xfId="4" applyNumberFormat="1" applyFont="1" applyFill="1" applyBorder="1"/>
    <xf numFmtId="44" fontId="0" fillId="0" borderId="29" xfId="4" applyNumberFormat="1" applyFont="1" applyFill="1" applyBorder="1"/>
    <xf numFmtId="180" fontId="0" fillId="0" borderId="0" xfId="0" applyNumberFormat="1"/>
    <xf numFmtId="44" fontId="0" fillId="0" borderId="0" xfId="0" applyNumberFormat="1" applyBorder="1"/>
    <xf numFmtId="44" fontId="0" fillId="0" borderId="0" xfId="0" applyNumberFormat="1" applyFill="1"/>
    <xf numFmtId="44" fontId="0" fillId="0" borderId="41" xfId="4" applyNumberFormat="1" applyFont="1" applyFill="1" applyBorder="1"/>
    <xf numFmtId="44" fontId="0" fillId="0" borderId="11" xfId="4" applyNumberFormat="1" applyFont="1" applyFill="1" applyBorder="1"/>
    <xf numFmtId="44" fontId="0" fillId="0" borderId="27" xfId="4" applyNumberFormat="1" applyFont="1" applyFill="1" applyBorder="1"/>
    <xf numFmtId="44" fontId="0" fillId="0" borderId="5" xfId="4" applyNumberFormat="1" applyFont="1" applyFill="1" applyBorder="1"/>
    <xf numFmtId="0" fontId="0" fillId="9" borderId="19" xfId="0" applyFill="1" applyBorder="1" applyAlignment="1">
      <alignment vertical="center" wrapText="1"/>
    </xf>
    <xf numFmtId="0" fontId="0" fillId="9" borderId="0" xfId="0" applyFill="1" applyBorder="1" applyAlignment="1">
      <alignment vertical="center" wrapText="1"/>
    </xf>
    <xf numFmtId="0" fontId="0" fillId="0" borderId="7" xfId="0" applyFill="1" applyBorder="1"/>
    <xf numFmtId="0" fontId="0" fillId="0" borderId="7" xfId="0" applyBorder="1"/>
    <xf numFmtId="0" fontId="0" fillId="11" borderId="7" xfId="0" applyFill="1" applyBorder="1"/>
    <xf numFmtId="0" fontId="0" fillId="0" borderId="2" xfId="0" applyFill="1" applyBorder="1"/>
    <xf numFmtId="44" fontId="0" fillId="0" borderId="19" xfId="4" applyNumberFormat="1" applyFont="1" applyFill="1" applyBorder="1"/>
    <xf numFmtId="44" fontId="0" fillId="0" borderId="22" xfId="4" applyNumberFormat="1" applyFont="1" applyFill="1" applyBorder="1"/>
    <xf numFmtId="181" fontId="6" fillId="11" borderId="23" xfId="0" applyNumberFormat="1" applyFont="1" applyFill="1" applyBorder="1"/>
    <xf numFmtId="181" fontId="6" fillId="9" borderId="1" xfId="0" applyNumberFormat="1" applyFont="1" applyFill="1" applyBorder="1"/>
    <xf numFmtId="181" fontId="0" fillId="0" borderId="26" xfId="4" applyNumberFormat="1" applyFont="1" applyBorder="1"/>
    <xf numFmtId="181" fontId="0" fillId="0" borderId="13" xfId="4" applyNumberFormat="1" applyFont="1" applyBorder="1"/>
    <xf numFmtId="181" fontId="0" fillId="0" borderId="1" xfId="4" applyNumberFormat="1" applyFont="1" applyFill="1" applyBorder="1"/>
    <xf numFmtId="181" fontId="0" fillId="0" borderId="26" xfId="4" applyNumberFormat="1" applyFont="1" applyFill="1" applyBorder="1"/>
    <xf numFmtId="181" fontId="0" fillId="0" borderId="13" xfId="4" applyNumberFormat="1" applyFont="1" applyFill="1" applyBorder="1"/>
    <xf numFmtId="181" fontId="0" fillId="0" borderId="44" xfId="4" applyNumberFormat="1" applyFont="1" applyFill="1" applyBorder="1"/>
    <xf numFmtId="181" fontId="0" fillId="0" borderId="1" xfId="4" applyNumberFormat="1" applyFont="1" applyFill="1" applyBorder="1" applyAlignment="1"/>
    <xf numFmtId="181" fontId="0" fillId="0" borderId="32" xfId="4" applyNumberFormat="1" applyFont="1" applyFill="1" applyBorder="1"/>
    <xf numFmtId="181" fontId="0" fillId="0" borderId="0" xfId="0" applyNumberFormat="1" applyFill="1"/>
    <xf numFmtId="181" fontId="0" fillId="0" borderId="0" xfId="4" applyNumberFormat="1" applyFont="1" applyBorder="1"/>
    <xf numFmtId="181" fontId="0" fillId="0" borderId="19" xfId="4" applyNumberFormat="1" applyFont="1" applyFill="1" applyBorder="1"/>
    <xf numFmtId="181" fontId="0" fillId="11" borderId="1" xfId="4" applyNumberFormat="1" applyFont="1" applyFill="1" applyBorder="1"/>
    <xf numFmtId="181" fontId="0" fillId="0" borderId="0" xfId="0" applyNumberFormat="1"/>
    <xf numFmtId="181" fontId="0" fillId="0" borderId="1" xfId="4" applyNumberFormat="1" applyFont="1" applyBorder="1"/>
    <xf numFmtId="181" fontId="0" fillId="0" borderId="0" xfId="4" applyNumberFormat="1" applyFont="1"/>
    <xf numFmtId="181" fontId="0" fillId="11" borderId="38" xfId="4" applyNumberFormat="1" applyFont="1" applyFill="1" applyBorder="1"/>
    <xf numFmtId="181" fontId="0" fillId="0" borderId="42" xfId="4" applyNumberFormat="1" applyFont="1" applyFill="1" applyBorder="1"/>
    <xf numFmtId="181" fontId="0" fillId="0" borderId="41" xfId="4" applyNumberFormat="1" applyFont="1" applyFill="1" applyBorder="1"/>
    <xf numFmtId="181" fontId="0" fillId="0" borderId="7" xfId="4" applyNumberFormat="1" applyFont="1" applyFill="1" applyBorder="1"/>
    <xf numFmtId="181" fontId="0" fillId="0" borderId="18" xfId="4" applyNumberFormat="1" applyFont="1" applyBorder="1"/>
    <xf numFmtId="181" fontId="0" fillId="0" borderId="22" xfId="4" applyNumberFormat="1" applyFont="1" applyFill="1" applyBorder="1"/>
    <xf numFmtId="182" fontId="0" fillId="0" borderId="26" xfId="4" applyNumberFormat="1" applyFont="1" applyFill="1" applyBorder="1"/>
    <xf numFmtId="182" fontId="0" fillId="0" borderId="0" xfId="0" applyNumberFormat="1" applyFill="1"/>
    <xf numFmtId="181" fontId="0" fillId="0" borderId="3" xfId="4" applyNumberFormat="1" applyFont="1" applyFill="1" applyBorder="1"/>
    <xf numFmtId="181" fontId="0" fillId="0" borderId="16" xfId="4" applyNumberFormat="1" applyFont="1" applyFill="1" applyBorder="1"/>
    <xf numFmtId="181" fontId="0" fillId="12" borderId="0" xfId="4" applyNumberFormat="1" applyFont="1" applyFill="1"/>
    <xf numFmtId="181" fontId="0" fillId="0" borderId="42" xfId="4" applyNumberFormat="1" applyFont="1" applyBorder="1"/>
    <xf numFmtId="181" fontId="0" fillId="0" borderId="41" xfId="4" applyNumberFormat="1" applyFont="1" applyBorder="1"/>
    <xf numFmtId="181" fontId="0" fillId="0" borderId="7" xfId="4" applyNumberFormat="1" applyFont="1" applyBorder="1"/>
    <xf numFmtId="181" fontId="0" fillId="0" borderId="16" xfId="4" applyNumberFormat="1" applyFont="1" applyBorder="1"/>
    <xf numFmtId="181" fontId="0" fillId="0" borderId="32" xfId="4" applyNumberFormat="1" applyFont="1" applyBorder="1"/>
    <xf numFmtId="181" fontId="0" fillId="11" borderId="19" xfId="4" applyNumberFormat="1" applyFont="1" applyFill="1" applyBorder="1"/>
    <xf numFmtId="181" fontId="0" fillId="0" borderId="36" xfId="4" applyNumberFormat="1" applyFont="1" applyBorder="1"/>
    <xf numFmtId="181" fontId="0" fillId="11" borderId="40" xfId="4" applyNumberFormat="1" applyFont="1" applyFill="1" applyBorder="1"/>
    <xf numFmtId="181" fontId="0" fillId="0" borderId="29" xfId="4" applyNumberFormat="1" applyFont="1" applyBorder="1"/>
    <xf numFmtId="182" fontId="0" fillId="0" borderId="13" xfId="4" applyNumberFormat="1" applyFont="1" applyFill="1" applyBorder="1"/>
    <xf numFmtId="183" fontId="0" fillId="0" borderId="26" xfId="4" applyNumberFormat="1" applyFont="1" applyBorder="1"/>
    <xf numFmtId="183" fontId="0" fillId="0" borderId="13" xfId="4" applyNumberFormat="1" applyFont="1" applyBorder="1"/>
    <xf numFmtId="183" fontId="0" fillId="0" borderId="16" xfId="4" applyNumberFormat="1" applyFont="1" applyBorder="1"/>
    <xf numFmtId="183" fontId="0" fillId="0" borderId="1" xfId="4" applyNumberFormat="1" applyFont="1" applyBorder="1"/>
    <xf numFmtId="183" fontId="0" fillId="0" borderId="26" xfId="4" applyNumberFormat="1" applyFont="1" applyFill="1" applyBorder="1"/>
    <xf numFmtId="183" fontId="0" fillId="0" borderId="44" xfId="4" applyNumberFormat="1" applyFont="1" applyBorder="1"/>
    <xf numFmtId="183" fontId="0" fillId="0" borderId="1" xfId="4" applyNumberFormat="1" applyFont="1" applyFill="1" applyBorder="1" applyAlignment="1"/>
    <xf numFmtId="183" fontId="0" fillId="0" borderId="32" xfId="4" applyNumberFormat="1" applyFont="1" applyBorder="1"/>
    <xf numFmtId="183" fontId="0" fillId="0" borderId="0" xfId="4" applyNumberFormat="1" applyFont="1" applyBorder="1"/>
    <xf numFmtId="183" fontId="0" fillId="11" borderId="1" xfId="4" applyNumberFormat="1" applyFont="1" applyFill="1" applyBorder="1"/>
    <xf numFmtId="183" fontId="0" fillId="0" borderId="1" xfId="0" applyNumberFormat="1" applyBorder="1"/>
    <xf numFmtId="183" fontId="0" fillId="0" borderId="0" xfId="4" applyNumberFormat="1" applyFont="1"/>
    <xf numFmtId="183" fontId="0" fillId="11" borderId="38" xfId="4" applyNumberFormat="1" applyFont="1" applyFill="1" applyBorder="1"/>
    <xf numFmtId="183" fontId="0" fillId="11" borderId="39" xfId="4" applyNumberFormat="1" applyFont="1" applyFill="1" applyBorder="1"/>
    <xf numFmtId="183" fontId="0" fillId="11" borderId="40" xfId="4" applyNumberFormat="1" applyFont="1" applyFill="1" applyBorder="1"/>
    <xf numFmtId="183" fontId="0" fillId="0" borderId="42" xfId="4" applyNumberFormat="1" applyFont="1" applyBorder="1"/>
    <xf numFmtId="183" fontId="0" fillId="0" borderId="13" xfId="4" applyNumberFormat="1" applyFont="1" applyFill="1" applyBorder="1"/>
    <xf numFmtId="183" fontId="0" fillId="0" borderId="29" xfId="4" applyNumberFormat="1" applyFont="1" applyBorder="1"/>
    <xf numFmtId="183" fontId="0" fillId="0" borderId="22" xfId="4" applyNumberFormat="1" applyFont="1" applyFill="1" applyBorder="1"/>
    <xf numFmtId="183" fontId="0" fillId="0" borderId="1" xfId="4" applyNumberFormat="1" applyFont="1" applyFill="1" applyBorder="1"/>
    <xf numFmtId="183" fontId="0" fillId="0" borderId="16" xfId="4" applyNumberFormat="1" applyFont="1" applyFill="1" applyBorder="1"/>
    <xf numFmtId="181" fontId="0" fillId="0" borderId="1" xfId="0" applyNumberFormat="1" applyBorder="1"/>
    <xf numFmtId="181" fontId="0" fillId="0" borderId="1" xfId="0" applyNumberFormat="1" applyFill="1" applyBorder="1"/>
    <xf numFmtId="184" fontId="0" fillId="0" borderId="13" xfId="1" applyNumberFormat="1" applyFont="1" applyFill="1" applyBorder="1"/>
    <xf numFmtId="179" fontId="0" fillId="0" borderId="0" xfId="0" applyNumberFormat="1" applyBorder="1"/>
    <xf numFmtId="0" fontId="0" fillId="0" borderId="15" xfId="0" applyBorder="1"/>
    <xf numFmtId="9" fontId="0" fillId="0" borderId="18" xfId="1" applyFont="1" applyBorder="1"/>
    <xf numFmtId="181" fontId="0" fillId="0" borderId="31" xfId="4" applyNumberFormat="1" applyFont="1" applyBorder="1"/>
    <xf numFmtId="185" fontId="0" fillId="0" borderId="31" xfId="4" applyNumberFormat="1" applyFont="1" applyBorder="1"/>
    <xf numFmtId="44" fontId="0" fillId="0" borderId="46" xfId="4" applyNumberFormat="1" applyFont="1" applyBorder="1"/>
    <xf numFmtId="9" fontId="0" fillId="0" borderId="34" xfId="1" applyFont="1" applyBorder="1"/>
    <xf numFmtId="185" fontId="0" fillId="0" borderId="46" xfId="4" applyNumberFormat="1" applyFont="1" applyBorder="1"/>
    <xf numFmtId="181" fontId="0" fillId="0" borderId="34" xfId="4" applyNumberFormat="1" applyFont="1" applyBorder="1"/>
    <xf numFmtId="181" fontId="0" fillId="0" borderId="18" xfId="1" applyNumberFormat="1" applyFont="1" applyBorder="1"/>
    <xf numFmtId="181" fontId="0" fillId="0" borderId="1" xfId="0" applyNumberFormat="1" applyBorder="1" applyAlignment="1"/>
    <xf numFmtId="44" fontId="0" fillId="0" borderId="0" xfId="0" applyNumberFormat="1"/>
    <xf numFmtId="178" fontId="0" fillId="0" borderId="1" xfId="0" applyNumberFormat="1" applyBorder="1"/>
    <xf numFmtId="0" fontId="0" fillId="0" borderId="0" xfId="0" applyAlignment="1">
      <alignment horizontal="left"/>
    </xf>
    <xf numFmtId="0" fontId="0" fillId="0" borderId="3" xfId="0" applyBorder="1" applyAlignment="1">
      <alignment horizontal="center" wrapText="1"/>
    </xf>
    <xf numFmtId="0" fontId="0" fillId="0" borderId="7" xfId="0" applyBorder="1" applyAlignment="1">
      <alignment horizontal="center" wrapText="1"/>
    </xf>
    <xf numFmtId="0" fontId="0" fillId="3" borderId="3" xfId="0" applyFill="1" applyBorder="1" applyAlignment="1">
      <alignment horizontal="center"/>
    </xf>
    <xf numFmtId="0" fontId="0" fillId="3" borderId="6" xfId="0" applyFill="1" applyBorder="1" applyAlignment="1">
      <alignment horizontal="center"/>
    </xf>
    <xf numFmtId="0" fontId="0" fillId="3" borderId="7" xfId="0" applyFill="1" applyBorder="1" applyAlignment="1">
      <alignment horizontal="center"/>
    </xf>
    <xf numFmtId="0" fontId="0" fillId="3" borderId="1" xfId="0" applyFill="1" applyBorder="1" applyAlignment="1">
      <alignment horizontal="center"/>
    </xf>
    <xf numFmtId="0" fontId="0" fillId="0" borderId="3" xfId="0" applyBorder="1" applyAlignment="1">
      <alignment horizontal="center"/>
    </xf>
    <xf numFmtId="0" fontId="0" fillId="0" borderId="6" xfId="0" applyBorder="1" applyAlignment="1">
      <alignment horizontal="center"/>
    </xf>
    <xf numFmtId="0" fontId="0" fillId="0" borderId="7" xfId="0" applyBorder="1" applyAlignment="1">
      <alignment horizontal="center"/>
    </xf>
    <xf numFmtId="0" fontId="5" fillId="0" borderId="1" xfId="0" applyFont="1" applyBorder="1" applyAlignment="1">
      <alignment horizontal="center" vertical="center" wrapText="1"/>
    </xf>
    <xf numFmtId="0" fontId="2" fillId="0" borderId="1" xfId="0" applyFont="1" applyBorder="1" applyAlignment="1">
      <alignment horizontal="center" vertical="center" wrapText="1"/>
    </xf>
    <xf numFmtId="0" fontId="0" fillId="0" borderId="3" xfId="0" applyBorder="1" applyAlignment="1">
      <alignment horizontal="center" vertical="center" wrapText="1"/>
    </xf>
    <xf numFmtId="0" fontId="0" fillId="0" borderId="7" xfId="0" applyBorder="1" applyAlignment="1">
      <alignment horizontal="center" vertical="center" wrapText="1"/>
    </xf>
    <xf numFmtId="0" fontId="0" fillId="0" borderId="0" xfId="0" applyFill="1" applyBorder="1" applyAlignment="1">
      <alignment horizontal="center"/>
    </xf>
    <xf numFmtId="0" fontId="0" fillId="6" borderId="3" xfId="0" applyFill="1" applyBorder="1" applyAlignment="1">
      <alignment horizontal="center"/>
    </xf>
    <xf numFmtId="0" fontId="0" fillId="6" borderId="7" xfId="0" applyFill="1" applyBorder="1" applyAlignment="1">
      <alignment horizontal="center"/>
    </xf>
    <xf numFmtId="0" fontId="0" fillId="7" borderId="3" xfId="0" applyFill="1" applyBorder="1" applyAlignment="1">
      <alignment horizontal="center"/>
    </xf>
    <xf numFmtId="0" fontId="0" fillId="7" borderId="6" xfId="0" applyFill="1" applyBorder="1" applyAlignment="1">
      <alignment horizontal="center"/>
    </xf>
    <xf numFmtId="0" fontId="0" fillId="7" borderId="7" xfId="0" applyFill="1" applyBorder="1" applyAlignment="1">
      <alignment horizontal="center"/>
    </xf>
    <xf numFmtId="0" fontId="0" fillId="5" borderId="3" xfId="0" applyFill="1" applyBorder="1" applyAlignment="1">
      <alignment horizontal="center"/>
    </xf>
    <xf numFmtId="0" fontId="0" fillId="5" borderId="7" xfId="0" applyFill="1" applyBorder="1" applyAlignment="1">
      <alignment horizontal="center"/>
    </xf>
    <xf numFmtId="0" fontId="0" fillId="6" borderId="6" xfId="0" applyFill="1" applyBorder="1" applyAlignment="1">
      <alignment horizontal="center"/>
    </xf>
    <xf numFmtId="0" fontId="0" fillId="4" borderId="1" xfId="0" applyFill="1" applyBorder="1" applyAlignment="1">
      <alignment horizontal="center"/>
    </xf>
    <xf numFmtId="0" fontId="0" fillId="5" borderId="6" xfId="0" applyFill="1" applyBorder="1" applyAlignment="1">
      <alignment horizontal="center"/>
    </xf>
    <xf numFmtId="0" fontId="0" fillId="2" borderId="3" xfId="0" applyFill="1" applyBorder="1" applyAlignment="1">
      <alignment horizontal="center"/>
    </xf>
    <xf numFmtId="0" fontId="0" fillId="2" borderId="7" xfId="0" applyFill="1" applyBorder="1" applyAlignment="1">
      <alignment horizontal="center"/>
    </xf>
    <xf numFmtId="0" fontId="0" fillId="0" borderId="1" xfId="0" applyBorder="1" applyAlignment="1">
      <alignment horizontal="center" wrapText="1"/>
    </xf>
    <xf numFmtId="0" fontId="0" fillId="4" borderId="3" xfId="0" applyFill="1" applyBorder="1" applyAlignment="1">
      <alignment horizontal="center"/>
    </xf>
    <xf numFmtId="0" fontId="0" fillId="4" borderId="6" xfId="0" applyFill="1" applyBorder="1" applyAlignment="1">
      <alignment horizontal="center"/>
    </xf>
    <xf numFmtId="0" fontId="0" fillId="4" borderId="7" xfId="0" applyFill="1" applyBorder="1" applyAlignment="1">
      <alignment horizontal="center"/>
    </xf>
    <xf numFmtId="0" fontId="0" fillId="2" borderId="1" xfId="0" applyFill="1" applyBorder="1" applyAlignment="1">
      <alignment horizontal="center"/>
    </xf>
    <xf numFmtId="0" fontId="4" fillId="0" borderId="1" xfId="0" applyFont="1" applyBorder="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xf>
    <xf numFmtId="0" fontId="0" fillId="0" borderId="3"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0" fillId="0" borderId="3" xfId="0" applyBorder="1" applyAlignment="1">
      <alignment horizontal="left"/>
    </xf>
    <xf numFmtId="0" fontId="0" fillId="0" borderId="7" xfId="0" applyBorder="1" applyAlignment="1">
      <alignment horizontal="left"/>
    </xf>
    <xf numFmtId="0" fontId="0" fillId="0" borderId="1" xfId="0" applyBorder="1" applyAlignment="1">
      <alignment horizontal="left"/>
    </xf>
    <xf numFmtId="0" fontId="0" fillId="8" borderId="0" xfId="0" applyFill="1" applyAlignment="1">
      <alignment horizontal="center"/>
    </xf>
    <xf numFmtId="0" fontId="3" fillId="0" borderId="3" xfId="0" applyFont="1" applyBorder="1" applyAlignment="1">
      <alignment horizontal="center" vertical="center" wrapText="1"/>
    </xf>
    <xf numFmtId="0" fontId="3" fillId="0" borderId="7" xfId="0" applyFont="1" applyBorder="1" applyAlignment="1">
      <alignment horizontal="center" vertical="center" wrapText="1"/>
    </xf>
    <xf numFmtId="0" fontId="0" fillId="0" borderId="1" xfId="0" applyFill="1" applyBorder="1" applyAlignment="1">
      <alignment horizontal="center"/>
    </xf>
    <xf numFmtId="0" fontId="0" fillId="6" borderId="1" xfId="0" applyFill="1" applyBorder="1" applyAlignment="1">
      <alignment horizontal="center"/>
    </xf>
    <xf numFmtId="164" fontId="0" fillId="0" borderId="1" xfId="0" applyNumberFormat="1" applyBorder="1" applyAlignment="1">
      <alignment horizontal="left"/>
    </xf>
    <xf numFmtId="167" fontId="0" fillId="0" borderId="1" xfId="0" applyNumberFormat="1" applyBorder="1" applyAlignment="1">
      <alignment horizontal="center"/>
    </xf>
    <xf numFmtId="0" fontId="0" fillId="0" borderId="0" xfId="0" applyAlignment="1">
      <alignment horizontal="center"/>
    </xf>
    <xf numFmtId="14" fontId="0" fillId="0" borderId="1" xfId="0" applyNumberFormat="1" applyBorder="1" applyAlignment="1">
      <alignment horizontal="center"/>
    </xf>
    <xf numFmtId="0" fontId="0" fillId="0" borderId="0" xfId="0" applyBorder="1" applyAlignment="1">
      <alignment horizontal="center"/>
    </xf>
    <xf numFmtId="0" fontId="0" fillId="0" borderId="1" xfId="0" applyBorder="1" applyAlignment="1">
      <alignment horizontal="center" vertical="top"/>
    </xf>
    <xf numFmtId="0" fontId="0" fillId="0" borderId="3" xfId="0" applyBorder="1" applyAlignment="1">
      <alignment horizontal="center" vertical="top"/>
    </xf>
    <xf numFmtId="0" fontId="0" fillId="0" borderId="7" xfId="0" applyBorder="1" applyAlignment="1">
      <alignment horizontal="center" vertical="top"/>
    </xf>
    <xf numFmtId="172" fontId="0" fillId="0" borderId="0" xfId="0" applyNumberFormat="1" applyBorder="1" applyAlignment="1">
      <alignment horizontal="center"/>
    </xf>
    <xf numFmtId="14" fontId="0" fillId="0" borderId="1" xfId="0" applyNumberFormat="1" applyBorder="1" applyAlignment="1">
      <alignment horizontal="center" vertical="top"/>
    </xf>
    <xf numFmtId="0" fontId="0" fillId="0" borderId="3" xfId="0" applyFill="1" applyBorder="1" applyAlignment="1">
      <alignment horizontal="center" vertical="center"/>
    </xf>
    <xf numFmtId="0" fontId="0" fillId="0" borderId="7" xfId="0" applyFill="1" applyBorder="1" applyAlignment="1">
      <alignment horizontal="center" vertical="center"/>
    </xf>
    <xf numFmtId="0" fontId="0" fillId="0" borderId="3" xfId="0" applyBorder="1" applyAlignment="1">
      <alignment horizontal="center" vertical="top" wrapText="1"/>
    </xf>
    <xf numFmtId="0" fontId="0" fillId="0" borderId="7" xfId="0" applyBorder="1" applyAlignment="1">
      <alignment horizontal="center" vertical="top" wrapText="1"/>
    </xf>
    <xf numFmtId="0" fontId="0" fillId="0" borderId="4" xfId="0" applyBorder="1" applyAlignment="1">
      <alignment horizontal="center" vertical="center" wrapText="1"/>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0" borderId="4" xfId="0" applyBorder="1" applyAlignment="1">
      <alignment horizontal="center" vertical="center"/>
    </xf>
    <xf numFmtId="0" fontId="0" fillId="0" borderId="8" xfId="0" applyBorder="1" applyAlignment="1">
      <alignment horizontal="center" vertical="center"/>
    </xf>
    <xf numFmtId="0" fontId="0" fillId="0" borderId="9" xfId="0" applyBorder="1" applyAlignment="1">
      <alignment horizontal="center" vertical="center"/>
    </xf>
    <xf numFmtId="0" fontId="0" fillId="10" borderId="10" xfId="0" applyFill="1" applyBorder="1" applyAlignment="1">
      <alignment horizontal="center"/>
    </xf>
    <xf numFmtId="0" fontId="0" fillId="10" borderId="11" xfId="0" applyFill="1" applyBorder="1" applyAlignment="1">
      <alignment horizontal="center"/>
    </xf>
    <xf numFmtId="0" fontId="0" fillId="10" borderId="12" xfId="0" applyFill="1" applyBorder="1" applyAlignment="1">
      <alignment horizontal="center"/>
    </xf>
    <xf numFmtId="44" fontId="0" fillId="0" borderId="4" xfId="4" applyNumberFormat="1" applyFont="1" applyBorder="1" applyAlignment="1">
      <alignment horizontal="right"/>
    </xf>
    <xf numFmtId="44" fontId="0" fillId="0" borderId="16" xfId="4" applyNumberFormat="1" applyFont="1" applyBorder="1" applyAlignment="1">
      <alignment horizontal="right"/>
    </xf>
    <xf numFmtId="44" fontId="0" fillId="0" borderId="17" xfId="0" applyNumberFormat="1" applyBorder="1" applyAlignment="1">
      <alignment horizontal="right"/>
    </xf>
    <xf numFmtId="44" fontId="0" fillId="0" borderId="18" xfId="0" applyNumberFormat="1" applyBorder="1" applyAlignment="1">
      <alignment horizontal="right"/>
    </xf>
    <xf numFmtId="9" fontId="0" fillId="0" borderId="3" xfId="0" applyNumberFormat="1" applyBorder="1" applyAlignment="1">
      <alignment horizontal="center"/>
    </xf>
    <xf numFmtId="9" fontId="0" fillId="0" borderId="7" xfId="0" applyNumberFormat="1" applyBorder="1" applyAlignment="1">
      <alignment horizontal="center"/>
    </xf>
    <xf numFmtId="0" fontId="0" fillId="9" borderId="25" xfId="0" applyFill="1" applyBorder="1" applyAlignment="1">
      <alignment horizontal="center" vertical="center" wrapText="1"/>
    </xf>
    <xf numFmtId="0" fontId="0" fillId="9" borderId="41" xfId="0" applyFill="1" applyBorder="1" applyAlignment="1">
      <alignment horizontal="center" vertical="center" wrapText="1"/>
    </xf>
    <xf numFmtId="0" fontId="0" fillId="9" borderId="19" xfId="0" applyFill="1" applyBorder="1" applyAlignment="1">
      <alignment horizontal="center" vertical="center" wrapText="1"/>
    </xf>
    <xf numFmtId="0" fontId="0" fillId="9" borderId="2" xfId="0" applyFill="1" applyBorder="1" applyAlignment="1">
      <alignment horizontal="center" vertical="center" wrapText="1"/>
    </xf>
    <xf numFmtId="0" fontId="0" fillId="9" borderId="33" xfId="0" applyFill="1" applyBorder="1" applyAlignment="1">
      <alignment horizontal="center" vertical="center" wrapText="1"/>
    </xf>
    <xf numFmtId="0" fontId="0" fillId="9" borderId="46" xfId="0" applyFill="1" applyBorder="1" applyAlignment="1">
      <alignment horizontal="center" vertical="center" wrapText="1"/>
    </xf>
    <xf numFmtId="0" fontId="0" fillId="9" borderId="1" xfId="0" applyFill="1" applyBorder="1" applyAlignment="1">
      <alignment horizontal="center" vertical="center" wrapText="1"/>
    </xf>
    <xf numFmtId="42" fontId="0" fillId="0" borderId="1" xfId="0" applyNumberFormat="1" applyBorder="1" applyAlignment="1">
      <alignment horizontal="center"/>
    </xf>
    <xf numFmtId="0" fontId="0" fillId="0" borderId="3" xfId="0" applyFill="1" applyBorder="1" applyAlignment="1">
      <alignment horizontal="center"/>
    </xf>
    <xf numFmtId="0" fontId="0" fillId="0" borderId="7" xfId="0" applyFill="1" applyBorder="1" applyAlignment="1">
      <alignment horizontal="center"/>
    </xf>
    <xf numFmtId="0" fontId="0" fillId="0" borderId="14" xfId="0" applyBorder="1" applyAlignment="1">
      <alignment horizontal="center"/>
    </xf>
    <xf numFmtId="167" fontId="0" fillId="0" borderId="3" xfId="0" applyNumberFormat="1" applyBorder="1" applyAlignment="1">
      <alignment horizontal="center"/>
    </xf>
    <xf numFmtId="167" fontId="0" fillId="0" borderId="6" xfId="0" applyNumberFormat="1" applyBorder="1" applyAlignment="1">
      <alignment horizontal="center"/>
    </xf>
    <xf numFmtId="167" fontId="0" fillId="0" borderId="14" xfId="0" applyNumberFormat="1" applyBorder="1" applyAlignment="1">
      <alignment horizontal="center"/>
    </xf>
    <xf numFmtId="177" fontId="0" fillId="0" borderId="3" xfId="0" applyNumberFormat="1" applyBorder="1" applyAlignment="1">
      <alignment horizontal="center"/>
    </xf>
    <xf numFmtId="177" fontId="0" fillId="0" borderId="6" xfId="0" applyNumberFormat="1" applyBorder="1" applyAlignment="1">
      <alignment horizontal="center"/>
    </xf>
    <xf numFmtId="177" fontId="0" fillId="0" borderId="14" xfId="0" applyNumberFormat="1" applyBorder="1" applyAlignment="1">
      <alignment horizontal="center"/>
    </xf>
    <xf numFmtId="0" fontId="6" fillId="0" borderId="10" xfId="0" applyFont="1" applyBorder="1" applyAlignment="1">
      <alignment horizontal="center"/>
    </xf>
    <xf numFmtId="0" fontId="6" fillId="0" borderId="12" xfId="0" applyFont="1" applyBorder="1" applyAlignment="1">
      <alignment horizontal="center"/>
    </xf>
    <xf numFmtId="0" fontId="6" fillId="10" borderId="44" xfId="0" applyFont="1" applyFill="1" applyBorder="1" applyAlignment="1">
      <alignment horizontal="center" vertical="center"/>
    </xf>
    <xf numFmtId="0" fontId="6" fillId="10" borderId="35" xfId="0" applyFont="1" applyFill="1" applyBorder="1" applyAlignment="1">
      <alignment horizontal="center" vertical="center"/>
    </xf>
    <xf numFmtId="0" fontId="6" fillId="10" borderId="15" xfId="0" applyFont="1" applyFill="1" applyBorder="1" applyAlignment="1">
      <alignment horizontal="center" vertical="center"/>
    </xf>
    <xf numFmtId="0" fontId="6" fillId="10" borderId="50" xfId="0" applyFont="1" applyFill="1" applyBorder="1" applyAlignment="1">
      <alignment horizontal="center" vertical="center"/>
    </xf>
    <xf numFmtId="0" fontId="6" fillId="10" borderId="45" xfId="0" applyFont="1" applyFill="1" applyBorder="1" applyAlignment="1">
      <alignment horizontal="center" vertical="center"/>
    </xf>
    <xf numFmtId="0" fontId="6" fillId="10" borderId="5" xfId="0" applyFont="1" applyFill="1" applyBorder="1" applyAlignment="1">
      <alignment horizontal="center" vertical="center"/>
    </xf>
    <xf numFmtId="0" fontId="6" fillId="0" borderId="20" xfId="0" applyFont="1" applyBorder="1" applyAlignment="1">
      <alignment horizontal="center"/>
    </xf>
    <xf numFmtId="0" fontId="6" fillId="14" borderId="10" xfId="0" applyFont="1" applyFill="1" applyBorder="1" applyAlignment="1">
      <alignment horizontal="center"/>
    </xf>
    <xf numFmtId="0" fontId="6" fillId="14" borderId="12" xfId="0" applyFont="1" applyFill="1" applyBorder="1" applyAlignment="1">
      <alignment horizontal="center"/>
    </xf>
    <xf numFmtId="0" fontId="6" fillId="10" borderId="19" xfId="0" applyFont="1" applyFill="1" applyBorder="1" applyAlignment="1">
      <alignment horizontal="center" vertical="center"/>
    </xf>
    <xf numFmtId="0" fontId="6" fillId="10" borderId="0" xfId="0" applyFont="1" applyFill="1" applyBorder="1" applyAlignment="1">
      <alignment horizontal="center" vertical="center"/>
    </xf>
    <xf numFmtId="0" fontId="6" fillId="10" borderId="47" xfId="0" applyFont="1" applyFill="1" applyBorder="1" applyAlignment="1">
      <alignment horizontal="center" vertical="center"/>
    </xf>
    <xf numFmtId="0" fontId="6" fillId="10" borderId="48" xfId="0" applyFont="1" applyFill="1" applyBorder="1" applyAlignment="1">
      <alignment horizontal="center" vertical="center"/>
    </xf>
    <xf numFmtId="0" fontId="6" fillId="10" borderId="49" xfId="0" applyFont="1" applyFill="1" applyBorder="1" applyAlignment="1">
      <alignment horizontal="center" vertical="center"/>
    </xf>
    <xf numFmtId="0" fontId="6" fillId="10" borderId="9" xfId="0" applyFont="1" applyFill="1" applyBorder="1" applyAlignment="1">
      <alignment horizontal="center" vertical="center"/>
    </xf>
    <xf numFmtId="0" fontId="6" fillId="10" borderId="1" xfId="0" applyFont="1" applyFill="1" applyBorder="1" applyAlignment="1">
      <alignment horizontal="center" vertical="center"/>
    </xf>
    <xf numFmtId="178" fontId="0" fillId="0" borderId="4" xfId="4" applyNumberFormat="1" applyFont="1" applyBorder="1" applyAlignment="1">
      <alignment horizontal="right"/>
    </xf>
    <xf numFmtId="178" fontId="0" fillId="0" borderId="16" xfId="4" applyNumberFormat="1" applyFont="1" applyBorder="1" applyAlignment="1">
      <alignment horizontal="right"/>
    </xf>
    <xf numFmtId="177" fontId="0" fillId="0" borderId="15" xfId="0" applyNumberFormat="1" applyBorder="1" applyAlignment="1">
      <alignment horizontal="right"/>
    </xf>
    <xf numFmtId="177" fontId="0" fillId="0" borderId="4" xfId="0" applyNumberFormat="1" applyBorder="1" applyAlignment="1">
      <alignment horizontal="right"/>
    </xf>
    <xf numFmtId="177" fontId="0" fillId="0" borderId="16" xfId="0" applyNumberFormat="1" applyBorder="1" applyAlignment="1">
      <alignment horizontal="right"/>
    </xf>
    <xf numFmtId="0" fontId="0" fillId="0" borderId="1" xfId="0" applyBorder="1" applyAlignment="1">
      <alignment horizontal="right"/>
    </xf>
    <xf numFmtId="0" fontId="0" fillId="0" borderId="13" xfId="0" applyBorder="1" applyAlignment="1">
      <alignment horizontal="right"/>
    </xf>
    <xf numFmtId="44" fontId="0" fillId="0" borderId="3" xfId="3" applyFont="1" applyBorder="1" applyAlignment="1">
      <alignment horizontal="right"/>
    </xf>
    <xf numFmtId="44" fontId="0" fillId="0" borderId="6" xfId="3" applyFont="1" applyBorder="1" applyAlignment="1">
      <alignment horizontal="right"/>
    </xf>
    <xf numFmtId="44" fontId="0" fillId="0" borderId="14" xfId="3" applyFont="1" applyBorder="1" applyAlignment="1">
      <alignment horizontal="right"/>
    </xf>
    <xf numFmtId="0" fontId="0" fillId="0" borderId="3" xfId="0" applyBorder="1" applyAlignment="1">
      <alignment horizontal="right"/>
    </xf>
    <xf numFmtId="0" fontId="0" fillId="0" borderId="6" xfId="0" applyBorder="1" applyAlignment="1">
      <alignment horizontal="right"/>
    </xf>
    <xf numFmtId="0" fontId="0" fillId="0" borderId="14" xfId="0" applyBorder="1" applyAlignment="1">
      <alignment horizontal="right"/>
    </xf>
  </cellXfs>
  <cellStyles count="5">
    <cellStyle name="Millares [0]" xfId="2" builtinId="6"/>
    <cellStyle name="Moneda" xfId="3" builtinId="4"/>
    <cellStyle name="Moneda [0]" xfId="4" builtinId="7"/>
    <cellStyle name="Normal" xfId="0" builtinId="0"/>
    <cellStyle name="Porcentaje" xfId="1" builtinId="5"/>
  </cellStyles>
  <dxfs count="0"/>
  <tableStyles count="0" defaultTableStyle="TableStyleMedium2" defaultPivotStyle="PivotStyleLight16"/>
  <colors>
    <mruColors>
      <color rgb="FFCC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8" Type="http://schemas.openxmlformats.org/officeDocument/2006/relationships/image" Target="../media/image10.jpeg"/><Relationship Id="rId3" Type="http://schemas.openxmlformats.org/officeDocument/2006/relationships/image" Target="../media/image5.jpeg"/><Relationship Id="rId7" Type="http://schemas.openxmlformats.org/officeDocument/2006/relationships/image" Target="../media/image9.png"/><Relationship Id="rId12" Type="http://schemas.openxmlformats.org/officeDocument/2006/relationships/image" Target="../media/image14.pn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jpeg"/><Relationship Id="rId11" Type="http://schemas.openxmlformats.org/officeDocument/2006/relationships/image" Target="../media/image13.png"/><Relationship Id="rId5" Type="http://schemas.openxmlformats.org/officeDocument/2006/relationships/image" Target="../media/image7.jpeg"/><Relationship Id="rId10" Type="http://schemas.openxmlformats.org/officeDocument/2006/relationships/image" Target="../media/image12.png"/><Relationship Id="rId4" Type="http://schemas.openxmlformats.org/officeDocument/2006/relationships/image" Target="../media/image6.jpeg"/><Relationship Id="rId9" Type="http://schemas.openxmlformats.org/officeDocument/2006/relationships/image" Target="../media/image11.png"/></Relationships>
</file>

<file path=xl/drawings/_rels/drawing4.xml.rels><?xml version="1.0" encoding="UTF-8" standalone="yes"?>
<Relationships xmlns="http://schemas.openxmlformats.org/package/2006/relationships"><Relationship Id="rId8" Type="http://schemas.openxmlformats.org/officeDocument/2006/relationships/image" Target="../media/image20.png"/><Relationship Id="rId13" Type="http://schemas.openxmlformats.org/officeDocument/2006/relationships/image" Target="../media/image25.jpeg"/><Relationship Id="rId18" Type="http://schemas.openxmlformats.org/officeDocument/2006/relationships/image" Target="../media/image30.png"/><Relationship Id="rId3" Type="http://schemas.openxmlformats.org/officeDocument/2006/relationships/image" Target="../media/image17.png"/><Relationship Id="rId21" Type="http://schemas.openxmlformats.org/officeDocument/2006/relationships/image" Target="../media/image33.png"/><Relationship Id="rId7" Type="http://schemas.openxmlformats.org/officeDocument/2006/relationships/image" Target="../media/image19.png"/><Relationship Id="rId12" Type="http://schemas.openxmlformats.org/officeDocument/2006/relationships/image" Target="../media/image24.jpeg"/><Relationship Id="rId17" Type="http://schemas.openxmlformats.org/officeDocument/2006/relationships/image" Target="../media/image29.png"/><Relationship Id="rId2" Type="http://schemas.openxmlformats.org/officeDocument/2006/relationships/image" Target="../media/image16.png"/><Relationship Id="rId16" Type="http://schemas.openxmlformats.org/officeDocument/2006/relationships/image" Target="../media/image28.png"/><Relationship Id="rId20" Type="http://schemas.openxmlformats.org/officeDocument/2006/relationships/image" Target="../media/image32.png"/><Relationship Id="rId1" Type="http://schemas.openxmlformats.org/officeDocument/2006/relationships/image" Target="../media/image15.jpeg"/><Relationship Id="rId6" Type="http://schemas.openxmlformats.org/officeDocument/2006/relationships/image" Target="../media/image18.png"/><Relationship Id="rId11" Type="http://schemas.openxmlformats.org/officeDocument/2006/relationships/image" Target="../media/image23.jpeg"/><Relationship Id="rId5" Type="http://schemas.openxmlformats.org/officeDocument/2006/relationships/image" Target="../media/image10.jpeg"/><Relationship Id="rId15" Type="http://schemas.openxmlformats.org/officeDocument/2006/relationships/image" Target="../media/image27.png"/><Relationship Id="rId10" Type="http://schemas.openxmlformats.org/officeDocument/2006/relationships/image" Target="../media/image22.jpeg"/><Relationship Id="rId19" Type="http://schemas.openxmlformats.org/officeDocument/2006/relationships/image" Target="../media/image31.png"/><Relationship Id="rId4" Type="http://schemas.openxmlformats.org/officeDocument/2006/relationships/image" Target="../media/image9.png"/><Relationship Id="rId9" Type="http://schemas.openxmlformats.org/officeDocument/2006/relationships/image" Target="../media/image21.jpeg"/><Relationship Id="rId14" Type="http://schemas.openxmlformats.org/officeDocument/2006/relationships/image" Target="../media/image26.png"/><Relationship Id="rId22" Type="http://schemas.openxmlformats.org/officeDocument/2006/relationships/image" Target="../media/image34.png"/></Relationships>
</file>

<file path=xl/drawings/_rels/drawing5.xml.rels><?xml version="1.0" encoding="UTF-8" standalone="yes"?>
<Relationships xmlns="http://schemas.openxmlformats.org/package/2006/relationships"><Relationship Id="rId3" Type="http://schemas.openxmlformats.org/officeDocument/2006/relationships/image" Target="../media/image37.jpeg"/><Relationship Id="rId2" Type="http://schemas.openxmlformats.org/officeDocument/2006/relationships/image" Target="../media/image36.jpeg"/><Relationship Id="rId1" Type="http://schemas.openxmlformats.org/officeDocument/2006/relationships/image" Target="../media/image35.png"/><Relationship Id="rId5" Type="http://schemas.openxmlformats.org/officeDocument/2006/relationships/image" Target="../media/image39.jpeg"/><Relationship Id="rId4" Type="http://schemas.openxmlformats.org/officeDocument/2006/relationships/image" Target="../media/image38.jpeg"/></Relationships>
</file>

<file path=xl/drawings/_rels/drawing6.xml.rels><?xml version="1.0" encoding="UTF-8" standalone="yes"?>
<Relationships xmlns="http://schemas.openxmlformats.org/package/2006/relationships"><Relationship Id="rId3" Type="http://schemas.openxmlformats.org/officeDocument/2006/relationships/image" Target="../media/image37.jpeg"/><Relationship Id="rId2" Type="http://schemas.openxmlformats.org/officeDocument/2006/relationships/image" Target="../media/image36.jpeg"/><Relationship Id="rId1" Type="http://schemas.openxmlformats.org/officeDocument/2006/relationships/image" Target="../media/image35.png"/><Relationship Id="rId5" Type="http://schemas.openxmlformats.org/officeDocument/2006/relationships/image" Target="../media/image39.jpeg"/><Relationship Id="rId4" Type="http://schemas.openxmlformats.org/officeDocument/2006/relationships/image" Target="../media/image38.jpeg"/></Relationships>
</file>

<file path=xl/drawings/_rels/drawing7.xml.rels><?xml version="1.0" encoding="UTF-8" standalone="yes"?>
<Relationships xmlns="http://schemas.openxmlformats.org/package/2006/relationships"><Relationship Id="rId3" Type="http://schemas.openxmlformats.org/officeDocument/2006/relationships/image" Target="../media/image37.jpeg"/><Relationship Id="rId2" Type="http://schemas.openxmlformats.org/officeDocument/2006/relationships/image" Target="../media/image36.jpeg"/><Relationship Id="rId1" Type="http://schemas.openxmlformats.org/officeDocument/2006/relationships/image" Target="../media/image35.png"/><Relationship Id="rId5" Type="http://schemas.openxmlformats.org/officeDocument/2006/relationships/image" Target="../media/image39.jpeg"/><Relationship Id="rId4" Type="http://schemas.openxmlformats.org/officeDocument/2006/relationships/image" Target="../media/image38.jpeg"/></Relationships>
</file>

<file path=xl/drawings/_rels/drawing8.xml.rels><?xml version="1.0" encoding="UTF-8" standalone="yes"?>
<Relationships xmlns="http://schemas.openxmlformats.org/package/2006/relationships"><Relationship Id="rId3" Type="http://schemas.openxmlformats.org/officeDocument/2006/relationships/image" Target="../media/image37.jpeg"/><Relationship Id="rId2" Type="http://schemas.openxmlformats.org/officeDocument/2006/relationships/image" Target="../media/image36.jpeg"/><Relationship Id="rId1" Type="http://schemas.openxmlformats.org/officeDocument/2006/relationships/image" Target="../media/image35.png"/><Relationship Id="rId5" Type="http://schemas.openxmlformats.org/officeDocument/2006/relationships/image" Target="../media/image39.jpeg"/><Relationship Id="rId4"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20</xdr:col>
      <xdr:colOff>517021</xdr:colOff>
      <xdr:row>185</xdr:row>
      <xdr:rowOff>160553</xdr:rowOff>
    </xdr:from>
    <xdr:to>
      <xdr:col>28</xdr:col>
      <xdr:colOff>560316</xdr:colOff>
      <xdr:row>200</xdr:row>
      <xdr:rowOff>13551</xdr:rowOff>
    </xdr:to>
    <xdr:pic>
      <xdr:nvPicPr>
        <xdr:cNvPr id="10" name="Imagen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1"/>
        <a:stretch>
          <a:fillRect/>
        </a:stretch>
      </xdr:blipFill>
      <xdr:spPr>
        <a:xfrm>
          <a:off x="18590709" y="35557834"/>
          <a:ext cx="5758295" cy="2710498"/>
        </a:xfrm>
        <a:prstGeom prst="rect">
          <a:avLst/>
        </a:prstGeom>
      </xdr:spPr>
    </xdr:pic>
    <xdr:clientData/>
  </xdr:twoCellAnchor>
  <xdr:twoCellAnchor editAs="oneCell">
    <xdr:from>
      <xdr:col>20</xdr:col>
      <xdr:colOff>447388</xdr:colOff>
      <xdr:row>159</xdr:row>
      <xdr:rowOff>0</xdr:rowOff>
    </xdr:from>
    <xdr:to>
      <xdr:col>29</xdr:col>
      <xdr:colOff>101165</xdr:colOff>
      <xdr:row>173</xdr:row>
      <xdr:rowOff>72159</xdr:rowOff>
    </xdr:to>
    <xdr:pic>
      <xdr:nvPicPr>
        <xdr:cNvPr id="11" name="Imagen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2"/>
        <a:stretch>
          <a:fillRect/>
        </a:stretch>
      </xdr:blipFill>
      <xdr:spPr>
        <a:xfrm>
          <a:off x="18198524" y="41202841"/>
          <a:ext cx="6148096" cy="2698750"/>
        </a:xfrm>
        <a:prstGeom prst="rect">
          <a:avLst/>
        </a:prstGeom>
      </xdr:spPr>
    </xdr:pic>
    <xdr:clientData/>
  </xdr:twoCellAnchor>
  <xdr:twoCellAnchor>
    <xdr:from>
      <xdr:col>25</xdr:col>
      <xdr:colOff>542058</xdr:colOff>
      <xdr:row>4</xdr:row>
      <xdr:rowOff>43296</xdr:rowOff>
    </xdr:from>
    <xdr:to>
      <xdr:col>27</xdr:col>
      <xdr:colOff>115454</xdr:colOff>
      <xdr:row>7</xdr:row>
      <xdr:rowOff>36950</xdr:rowOff>
    </xdr:to>
    <xdr:cxnSp macro="">
      <xdr:nvCxnSpPr>
        <xdr:cNvPr id="19" name="Conector recto 18">
          <a:extLst>
            <a:ext uri="{FF2B5EF4-FFF2-40B4-BE49-F238E27FC236}">
              <a16:creationId xmlns:a16="http://schemas.microsoft.com/office/drawing/2014/main" id="{00000000-0008-0000-0100-000013000000}"/>
            </a:ext>
          </a:extLst>
        </xdr:cNvPr>
        <xdr:cNvCxnSpPr/>
      </xdr:nvCxnSpPr>
      <xdr:spPr>
        <a:xfrm flipV="1">
          <a:off x="21901149" y="981364"/>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115454</xdr:colOff>
      <xdr:row>4</xdr:row>
      <xdr:rowOff>57729</xdr:rowOff>
    </xdr:from>
    <xdr:to>
      <xdr:col>27</xdr:col>
      <xdr:colOff>115455</xdr:colOff>
      <xdr:row>13</xdr:row>
      <xdr:rowOff>28864</xdr:rowOff>
    </xdr:to>
    <xdr:cxnSp macro="">
      <xdr:nvCxnSpPr>
        <xdr:cNvPr id="27" name="Conector recto 26">
          <a:extLst>
            <a:ext uri="{FF2B5EF4-FFF2-40B4-BE49-F238E27FC236}">
              <a16:creationId xmlns:a16="http://schemas.microsoft.com/office/drawing/2014/main" id="{00000000-0008-0000-0100-00001B000000}"/>
            </a:ext>
          </a:extLst>
        </xdr:cNvPr>
        <xdr:cNvCxnSpPr/>
      </xdr:nvCxnSpPr>
      <xdr:spPr>
        <a:xfrm flipH="1">
          <a:off x="22917727" y="995797"/>
          <a:ext cx="1" cy="1659658"/>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259772</xdr:colOff>
      <xdr:row>7</xdr:row>
      <xdr:rowOff>43295</xdr:rowOff>
    </xdr:from>
    <xdr:to>
      <xdr:col>23</xdr:col>
      <xdr:colOff>259772</xdr:colOff>
      <xdr:row>15</xdr:row>
      <xdr:rowOff>173182</xdr:rowOff>
    </xdr:to>
    <xdr:cxnSp macro="">
      <xdr:nvCxnSpPr>
        <xdr:cNvPr id="34" name="Conector recto 33">
          <a:extLst>
            <a:ext uri="{FF2B5EF4-FFF2-40B4-BE49-F238E27FC236}">
              <a16:creationId xmlns:a16="http://schemas.microsoft.com/office/drawing/2014/main" id="{00000000-0008-0000-0100-000022000000}"/>
            </a:ext>
          </a:extLst>
        </xdr:cNvPr>
        <xdr:cNvCxnSpPr>
          <a:stCxn id="12" idx="0"/>
          <a:endCxn id="12" idx="2"/>
        </xdr:cNvCxnSpPr>
      </xdr:nvCxnSpPr>
      <xdr:spPr>
        <a:xfrm>
          <a:off x="20175681" y="1544204"/>
          <a:ext cx="0" cy="1630796"/>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144318</xdr:colOff>
      <xdr:row>7</xdr:row>
      <xdr:rowOff>45027</xdr:rowOff>
    </xdr:from>
    <xdr:to>
      <xdr:col>22</xdr:col>
      <xdr:colOff>146048</xdr:colOff>
      <xdr:row>15</xdr:row>
      <xdr:rowOff>173182</xdr:rowOff>
    </xdr:to>
    <xdr:cxnSp macro="">
      <xdr:nvCxnSpPr>
        <xdr:cNvPr id="36" name="Conector recto 35">
          <a:extLst>
            <a:ext uri="{FF2B5EF4-FFF2-40B4-BE49-F238E27FC236}">
              <a16:creationId xmlns:a16="http://schemas.microsoft.com/office/drawing/2014/main" id="{00000000-0008-0000-0100-000024000000}"/>
            </a:ext>
          </a:extLst>
        </xdr:cNvPr>
        <xdr:cNvCxnSpPr/>
      </xdr:nvCxnSpPr>
      <xdr:spPr>
        <a:xfrm flipH="1">
          <a:off x="19338636" y="1545936"/>
          <a:ext cx="1730" cy="1629064"/>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144318</xdr:colOff>
      <xdr:row>5</xdr:row>
      <xdr:rowOff>174913</xdr:rowOff>
    </xdr:from>
    <xdr:to>
      <xdr:col>26</xdr:col>
      <xdr:colOff>146050</xdr:colOff>
      <xdr:row>15</xdr:row>
      <xdr:rowOff>14432</xdr:rowOff>
    </xdr:to>
    <xdr:cxnSp macro="">
      <xdr:nvCxnSpPr>
        <xdr:cNvPr id="40" name="Conector recto 39">
          <a:extLst>
            <a:ext uri="{FF2B5EF4-FFF2-40B4-BE49-F238E27FC236}">
              <a16:creationId xmlns:a16="http://schemas.microsoft.com/office/drawing/2014/main" id="{00000000-0008-0000-0100-000028000000}"/>
            </a:ext>
          </a:extLst>
        </xdr:cNvPr>
        <xdr:cNvCxnSpPr/>
      </xdr:nvCxnSpPr>
      <xdr:spPr>
        <a:xfrm flipH="1">
          <a:off x="22225000" y="1300595"/>
          <a:ext cx="1732" cy="171565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620569</xdr:colOff>
      <xdr:row>4</xdr:row>
      <xdr:rowOff>43296</xdr:rowOff>
    </xdr:from>
    <xdr:to>
      <xdr:col>27</xdr:col>
      <xdr:colOff>202045</xdr:colOff>
      <xdr:row>17</xdr:row>
      <xdr:rowOff>0</xdr:rowOff>
    </xdr:to>
    <xdr:grpSp>
      <xdr:nvGrpSpPr>
        <xdr:cNvPr id="159" name="Grupo 158">
          <a:extLst>
            <a:ext uri="{FF2B5EF4-FFF2-40B4-BE49-F238E27FC236}">
              <a16:creationId xmlns:a16="http://schemas.microsoft.com/office/drawing/2014/main" id="{00000000-0008-0000-0100-00009F000000}"/>
            </a:ext>
          </a:extLst>
        </xdr:cNvPr>
        <xdr:cNvGrpSpPr/>
      </xdr:nvGrpSpPr>
      <xdr:grpSpPr>
        <a:xfrm>
          <a:off x="18872850" y="983890"/>
          <a:ext cx="4582101" cy="2433204"/>
          <a:chOff x="18371705" y="981364"/>
          <a:chExt cx="4632613" cy="2395681"/>
        </a:xfrm>
      </xdr:grpSpPr>
      <xdr:cxnSp macro="">
        <xdr:nvCxnSpPr>
          <xdr:cNvPr id="113" name="Conector recto 112">
            <a:extLst>
              <a:ext uri="{FF2B5EF4-FFF2-40B4-BE49-F238E27FC236}">
                <a16:creationId xmlns:a16="http://schemas.microsoft.com/office/drawing/2014/main" id="{00000000-0008-0000-0100-000071000000}"/>
              </a:ext>
            </a:extLst>
          </xdr:cNvPr>
          <xdr:cNvCxnSpPr/>
        </xdr:nvCxnSpPr>
        <xdr:spPr>
          <a:xfrm flipV="1">
            <a:off x="18460026" y="989446"/>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34" name="Conector recto 133">
            <a:extLst>
              <a:ext uri="{FF2B5EF4-FFF2-40B4-BE49-F238E27FC236}">
                <a16:creationId xmlns:a16="http://schemas.microsoft.com/office/drawing/2014/main" id="{00000000-0008-0000-0100-000086000000}"/>
              </a:ext>
            </a:extLst>
          </xdr:cNvPr>
          <xdr:cNvCxnSpPr/>
        </xdr:nvCxnSpPr>
        <xdr:spPr>
          <a:xfrm>
            <a:off x="18371705" y="3218295"/>
            <a:ext cx="1" cy="15875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nvGrpSpPr>
          <xdr:cNvPr id="158" name="Grupo 157">
            <a:extLst>
              <a:ext uri="{FF2B5EF4-FFF2-40B4-BE49-F238E27FC236}">
                <a16:creationId xmlns:a16="http://schemas.microsoft.com/office/drawing/2014/main" id="{00000000-0008-0000-0100-00009E000000}"/>
              </a:ext>
            </a:extLst>
          </xdr:cNvPr>
          <xdr:cNvGrpSpPr/>
        </xdr:nvGrpSpPr>
        <xdr:grpSpPr>
          <a:xfrm>
            <a:off x="18371705" y="981364"/>
            <a:ext cx="4632613" cy="2395681"/>
            <a:chOff x="18371705" y="981364"/>
            <a:chExt cx="4632613" cy="2395681"/>
          </a:xfrm>
        </xdr:grpSpPr>
        <xdr:sp macro="" textlink="">
          <xdr:nvSpPr>
            <xdr:cNvPr id="12" name="Rectángulo 11">
              <a:extLst>
                <a:ext uri="{FF2B5EF4-FFF2-40B4-BE49-F238E27FC236}">
                  <a16:creationId xmlns:a16="http://schemas.microsoft.com/office/drawing/2014/main" id="{00000000-0008-0000-0100-00000C000000}"/>
                </a:ext>
              </a:extLst>
            </xdr:cNvPr>
            <xdr:cNvSpPr/>
          </xdr:nvSpPr>
          <xdr:spPr>
            <a:xfrm>
              <a:off x="18443862" y="1544204"/>
              <a:ext cx="3463637" cy="163079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xnSp macro="">
          <xdr:nvCxnSpPr>
            <xdr:cNvPr id="24" name="Conector recto 23">
              <a:extLst>
                <a:ext uri="{FF2B5EF4-FFF2-40B4-BE49-F238E27FC236}">
                  <a16:creationId xmlns:a16="http://schemas.microsoft.com/office/drawing/2014/main" id="{00000000-0008-0000-0100-000018000000}"/>
                </a:ext>
              </a:extLst>
            </xdr:cNvPr>
            <xdr:cNvCxnSpPr/>
          </xdr:nvCxnSpPr>
          <xdr:spPr>
            <a:xfrm flipH="1">
              <a:off x="19454092" y="981364"/>
              <a:ext cx="346363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7" name="Conector recto 46">
              <a:extLst>
                <a:ext uri="{FF2B5EF4-FFF2-40B4-BE49-F238E27FC236}">
                  <a16:creationId xmlns:a16="http://schemas.microsoft.com/office/drawing/2014/main" id="{00000000-0008-0000-0100-00002F000000}"/>
                </a:ext>
              </a:extLst>
            </xdr:cNvPr>
            <xdr:cNvCxnSpPr/>
          </xdr:nvCxnSpPr>
          <xdr:spPr>
            <a:xfrm>
              <a:off x="18443862" y="2251363"/>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8" name="Conector recto 47">
              <a:extLst>
                <a:ext uri="{FF2B5EF4-FFF2-40B4-BE49-F238E27FC236}">
                  <a16:creationId xmlns:a16="http://schemas.microsoft.com/office/drawing/2014/main" id="{00000000-0008-0000-0100-000030000000}"/>
                </a:ext>
              </a:extLst>
            </xdr:cNvPr>
            <xdr:cNvCxnSpPr/>
          </xdr:nvCxnSpPr>
          <xdr:spPr>
            <a:xfrm>
              <a:off x="18451943" y="2418195"/>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49" name="Conector recto 48">
              <a:extLst>
                <a:ext uri="{FF2B5EF4-FFF2-40B4-BE49-F238E27FC236}">
                  <a16:creationId xmlns:a16="http://schemas.microsoft.com/office/drawing/2014/main" id="{00000000-0008-0000-0100-000031000000}"/>
                </a:ext>
              </a:extLst>
            </xdr:cNvPr>
            <xdr:cNvCxnSpPr/>
          </xdr:nvCxnSpPr>
          <xdr:spPr>
            <a:xfrm>
              <a:off x="18460026" y="2613891"/>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0" name="Conector recto 49">
              <a:extLst>
                <a:ext uri="{FF2B5EF4-FFF2-40B4-BE49-F238E27FC236}">
                  <a16:creationId xmlns:a16="http://schemas.microsoft.com/office/drawing/2014/main" id="{00000000-0008-0000-0100-000032000000}"/>
                </a:ext>
              </a:extLst>
            </xdr:cNvPr>
            <xdr:cNvCxnSpPr/>
          </xdr:nvCxnSpPr>
          <xdr:spPr>
            <a:xfrm>
              <a:off x="18424812" y="2968336"/>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1" name="Conector recto 50">
              <a:extLst>
                <a:ext uri="{FF2B5EF4-FFF2-40B4-BE49-F238E27FC236}">
                  <a16:creationId xmlns:a16="http://schemas.microsoft.com/office/drawing/2014/main" id="{00000000-0008-0000-0100-000033000000}"/>
                </a:ext>
              </a:extLst>
            </xdr:cNvPr>
            <xdr:cNvCxnSpPr/>
          </xdr:nvCxnSpPr>
          <xdr:spPr>
            <a:xfrm>
              <a:off x="18447327" y="2817668"/>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2" name="Conector recto 51">
              <a:extLst>
                <a:ext uri="{FF2B5EF4-FFF2-40B4-BE49-F238E27FC236}">
                  <a16:creationId xmlns:a16="http://schemas.microsoft.com/office/drawing/2014/main" id="{00000000-0008-0000-0100-000034000000}"/>
                </a:ext>
              </a:extLst>
            </xdr:cNvPr>
            <xdr:cNvCxnSpPr/>
          </xdr:nvCxnSpPr>
          <xdr:spPr>
            <a:xfrm>
              <a:off x="18440975" y="1714500"/>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3" name="Conector recto 52">
              <a:extLst>
                <a:ext uri="{FF2B5EF4-FFF2-40B4-BE49-F238E27FC236}">
                  <a16:creationId xmlns:a16="http://schemas.microsoft.com/office/drawing/2014/main" id="{00000000-0008-0000-0100-000035000000}"/>
                </a:ext>
              </a:extLst>
            </xdr:cNvPr>
            <xdr:cNvCxnSpPr/>
          </xdr:nvCxnSpPr>
          <xdr:spPr>
            <a:xfrm>
              <a:off x="18449059" y="1881332"/>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4" name="Conector recto 53">
              <a:extLst>
                <a:ext uri="{FF2B5EF4-FFF2-40B4-BE49-F238E27FC236}">
                  <a16:creationId xmlns:a16="http://schemas.microsoft.com/office/drawing/2014/main" id="{00000000-0008-0000-0100-000036000000}"/>
                </a:ext>
              </a:extLst>
            </xdr:cNvPr>
            <xdr:cNvCxnSpPr/>
          </xdr:nvCxnSpPr>
          <xdr:spPr>
            <a:xfrm>
              <a:off x="18442707" y="2062595"/>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9" name="Conector recto 58">
              <a:extLst>
                <a:ext uri="{FF2B5EF4-FFF2-40B4-BE49-F238E27FC236}">
                  <a16:creationId xmlns:a16="http://schemas.microsoft.com/office/drawing/2014/main" id="{00000000-0008-0000-0100-00003B000000}"/>
                </a:ext>
              </a:extLst>
            </xdr:cNvPr>
            <xdr:cNvCxnSpPr/>
          </xdr:nvCxnSpPr>
          <xdr:spPr>
            <a:xfrm flipH="1">
              <a:off x="21020809" y="1525154"/>
              <a:ext cx="1730" cy="1629064"/>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2" name="Conector recto 91">
              <a:extLst>
                <a:ext uri="{FF2B5EF4-FFF2-40B4-BE49-F238E27FC236}">
                  <a16:creationId xmlns:a16="http://schemas.microsoft.com/office/drawing/2014/main" id="{00000000-0008-0000-0100-00005C000000}"/>
                </a:ext>
              </a:extLst>
            </xdr:cNvPr>
            <xdr:cNvCxnSpPr/>
          </xdr:nvCxnSpPr>
          <xdr:spPr>
            <a:xfrm flipH="1">
              <a:off x="18819091" y="1342160"/>
              <a:ext cx="344920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5" name="Conector recto 94">
              <a:extLst>
                <a:ext uri="{FF2B5EF4-FFF2-40B4-BE49-F238E27FC236}">
                  <a16:creationId xmlns:a16="http://schemas.microsoft.com/office/drawing/2014/main" id="{00000000-0008-0000-0100-00005F000000}"/>
                </a:ext>
              </a:extLst>
            </xdr:cNvPr>
            <xdr:cNvCxnSpPr/>
          </xdr:nvCxnSpPr>
          <xdr:spPr>
            <a:xfrm flipH="1">
              <a:off x="19173536" y="1133763"/>
              <a:ext cx="344920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08" name="Conector recto 107">
              <a:extLst>
                <a:ext uri="{FF2B5EF4-FFF2-40B4-BE49-F238E27FC236}">
                  <a16:creationId xmlns:a16="http://schemas.microsoft.com/office/drawing/2014/main" id="{00000000-0008-0000-0100-00006C000000}"/>
                </a:ext>
              </a:extLst>
            </xdr:cNvPr>
            <xdr:cNvCxnSpPr/>
          </xdr:nvCxnSpPr>
          <xdr:spPr>
            <a:xfrm flipV="1">
              <a:off x="21923662" y="2605810"/>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11" name="Conector recto 110">
              <a:extLst>
                <a:ext uri="{FF2B5EF4-FFF2-40B4-BE49-F238E27FC236}">
                  <a16:creationId xmlns:a16="http://schemas.microsoft.com/office/drawing/2014/main" id="{00000000-0008-0000-0100-00006F000000}"/>
                </a:ext>
              </a:extLst>
            </xdr:cNvPr>
            <xdr:cNvCxnSpPr/>
          </xdr:nvCxnSpPr>
          <xdr:spPr>
            <a:xfrm flipH="1">
              <a:off x="22593877" y="1135495"/>
              <a:ext cx="1732" cy="171565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14" name="Conector recto 113">
              <a:extLst>
                <a:ext uri="{FF2B5EF4-FFF2-40B4-BE49-F238E27FC236}">
                  <a16:creationId xmlns:a16="http://schemas.microsoft.com/office/drawing/2014/main" id="{00000000-0008-0000-0100-000072000000}"/>
                </a:ext>
              </a:extLst>
            </xdr:cNvPr>
            <xdr:cNvCxnSpPr/>
          </xdr:nvCxnSpPr>
          <xdr:spPr>
            <a:xfrm flipV="1">
              <a:off x="19295342" y="995795"/>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15" name="Conector recto 114">
              <a:extLst>
                <a:ext uri="{FF2B5EF4-FFF2-40B4-BE49-F238E27FC236}">
                  <a16:creationId xmlns:a16="http://schemas.microsoft.com/office/drawing/2014/main" id="{00000000-0008-0000-0100-000073000000}"/>
                </a:ext>
              </a:extLst>
            </xdr:cNvPr>
            <xdr:cNvCxnSpPr/>
          </xdr:nvCxnSpPr>
          <xdr:spPr>
            <a:xfrm flipV="1">
              <a:off x="20126037" y="989445"/>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16" name="Conector recto 115">
              <a:extLst>
                <a:ext uri="{FF2B5EF4-FFF2-40B4-BE49-F238E27FC236}">
                  <a16:creationId xmlns:a16="http://schemas.microsoft.com/office/drawing/2014/main" id="{00000000-0008-0000-0100-000074000000}"/>
                </a:ext>
              </a:extLst>
            </xdr:cNvPr>
            <xdr:cNvCxnSpPr/>
          </xdr:nvCxnSpPr>
          <xdr:spPr>
            <a:xfrm flipV="1">
              <a:off x="21028892" y="983095"/>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17" name="Conector recto 116">
              <a:extLst>
                <a:ext uri="{FF2B5EF4-FFF2-40B4-BE49-F238E27FC236}">
                  <a16:creationId xmlns:a16="http://schemas.microsoft.com/office/drawing/2014/main" id="{00000000-0008-0000-0100-000075000000}"/>
                </a:ext>
              </a:extLst>
            </xdr:cNvPr>
            <xdr:cNvCxnSpPr/>
          </xdr:nvCxnSpPr>
          <xdr:spPr>
            <a:xfrm flipV="1">
              <a:off x="21921932" y="1168977"/>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18" name="Conector recto 117">
              <a:extLst>
                <a:ext uri="{FF2B5EF4-FFF2-40B4-BE49-F238E27FC236}">
                  <a16:creationId xmlns:a16="http://schemas.microsoft.com/office/drawing/2014/main" id="{00000000-0008-0000-0100-000076000000}"/>
                </a:ext>
              </a:extLst>
            </xdr:cNvPr>
            <xdr:cNvCxnSpPr/>
          </xdr:nvCxnSpPr>
          <xdr:spPr>
            <a:xfrm flipV="1">
              <a:off x="21915583" y="1321377"/>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19" name="Conector recto 118">
              <a:extLst>
                <a:ext uri="{FF2B5EF4-FFF2-40B4-BE49-F238E27FC236}">
                  <a16:creationId xmlns:a16="http://schemas.microsoft.com/office/drawing/2014/main" id="{00000000-0008-0000-0100-000077000000}"/>
                </a:ext>
              </a:extLst>
            </xdr:cNvPr>
            <xdr:cNvCxnSpPr/>
          </xdr:nvCxnSpPr>
          <xdr:spPr>
            <a:xfrm flipV="1">
              <a:off x="21894800" y="1517072"/>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20" name="Conector recto 119">
              <a:extLst>
                <a:ext uri="{FF2B5EF4-FFF2-40B4-BE49-F238E27FC236}">
                  <a16:creationId xmlns:a16="http://schemas.microsoft.com/office/drawing/2014/main" id="{00000000-0008-0000-0100-000078000000}"/>
                </a:ext>
              </a:extLst>
            </xdr:cNvPr>
            <xdr:cNvCxnSpPr/>
          </xdr:nvCxnSpPr>
          <xdr:spPr>
            <a:xfrm flipV="1">
              <a:off x="21888451" y="1712768"/>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21" name="Conector recto 120">
              <a:extLst>
                <a:ext uri="{FF2B5EF4-FFF2-40B4-BE49-F238E27FC236}">
                  <a16:creationId xmlns:a16="http://schemas.microsoft.com/office/drawing/2014/main" id="{00000000-0008-0000-0100-000079000000}"/>
                </a:ext>
              </a:extLst>
            </xdr:cNvPr>
            <xdr:cNvCxnSpPr/>
          </xdr:nvCxnSpPr>
          <xdr:spPr>
            <a:xfrm flipV="1">
              <a:off x="21925396" y="1879600"/>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22" name="Conector recto 121">
              <a:extLst>
                <a:ext uri="{FF2B5EF4-FFF2-40B4-BE49-F238E27FC236}">
                  <a16:creationId xmlns:a16="http://schemas.microsoft.com/office/drawing/2014/main" id="{00000000-0008-0000-0100-00007A000000}"/>
                </a:ext>
              </a:extLst>
            </xdr:cNvPr>
            <xdr:cNvCxnSpPr/>
          </xdr:nvCxnSpPr>
          <xdr:spPr>
            <a:xfrm flipV="1">
              <a:off x="21890183" y="2060864"/>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23" name="Conector recto 122">
              <a:extLst>
                <a:ext uri="{FF2B5EF4-FFF2-40B4-BE49-F238E27FC236}">
                  <a16:creationId xmlns:a16="http://schemas.microsoft.com/office/drawing/2014/main" id="{00000000-0008-0000-0100-00007B000000}"/>
                </a:ext>
              </a:extLst>
            </xdr:cNvPr>
            <xdr:cNvCxnSpPr/>
          </xdr:nvCxnSpPr>
          <xdr:spPr>
            <a:xfrm flipV="1">
              <a:off x="21927128" y="2256559"/>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24" name="Conector recto 123">
              <a:extLst>
                <a:ext uri="{FF2B5EF4-FFF2-40B4-BE49-F238E27FC236}">
                  <a16:creationId xmlns:a16="http://schemas.microsoft.com/office/drawing/2014/main" id="{00000000-0008-0000-0100-00007C000000}"/>
                </a:ext>
              </a:extLst>
            </xdr:cNvPr>
            <xdr:cNvCxnSpPr/>
          </xdr:nvCxnSpPr>
          <xdr:spPr>
            <a:xfrm flipV="1">
              <a:off x="21891914" y="2437822"/>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27" name="Conector recto 126">
              <a:extLst>
                <a:ext uri="{FF2B5EF4-FFF2-40B4-BE49-F238E27FC236}">
                  <a16:creationId xmlns:a16="http://schemas.microsoft.com/office/drawing/2014/main" id="{00000000-0008-0000-0100-00007F000000}"/>
                </a:ext>
              </a:extLst>
            </xdr:cNvPr>
            <xdr:cNvCxnSpPr/>
          </xdr:nvCxnSpPr>
          <xdr:spPr>
            <a:xfrm>
              <a:off x="18386136" y="3377045"/>
              <a:ext cx="3564659"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45" name="Conector recto 144">
              <a:extLst>
                <a:ext uri="{FF2B5EF4-FFF2-40B4-BE49-F238E27FC236}">
                  <a16:creationId xmlns:a16="http://schemas.microsoft.com/office/drawing/2014/main" id="{00000000-0008-0000-0100-000091000000}"/>
                </a:ext>
              </a:extLst>
            </xdr:cNvPr>
            <xdr:cNvCxnSpPr/>
          </xdr:nvCxnSpPr>
          <xdr:spPr>
            <a:xfrm flipV="1">
              <a:off x="18371705" y="3160568"/>
              <a:ext cx="72159" cy="5772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47" name="Conector recto 146">
              <a:extLst>
                <a:ext uri="{FF2B5EF4-FFF2-40B4-BE49-F238E27FC236}">
                  <a16:creationId xmlns:a16="http://schemas.microsoft.com/office/drawing/2014/main" id="{00000000-0008-0000-0100-000093000000}"/>
                </a:ext>
              </a:extLst>
            </xdr:cNvPr>
            <xdr:cNvCxnSpPr/>
          </xdr:nvCxnSpPr>
          <xdr:spPr>
            <a:xfrm flipV="1">
              <a:off x="21965227" y="2814205"/>
              <a:ext cx="1039091" cy="56284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49" name="Conector recto 148">
              <a:extLst>
                <a:ext uri="{FF2B5EF4-FFF2-40B4-BE49-F238E27FC236}">
                  <a16:creationId xmlns:a16="http://schemas.microsoft.com/office/drawing/2014/main" id="{00000000-0008-0000-0100-000095000000}"/>
                </a:ext>
              </a:extLst>
            </xdr:cNvPr>
            <xdr:cNvCxnSpPr/>
          </xdr:nvCxnSpPr>
          <xdr:spPr>
            <a:xfrm>
              <a:off x="22983533" y="2649106"/>
              <a:ext cx="1" cy="15875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51" name="Conector recto 150">
              <a:extLst>
                <a:ext uri="{FF2B5EF4-FFF2-40B4-BE49-F238E27FC236}">
                  <a16:creationId xmlns:a16="http://schemas.microsoft.com/office/drawing/2014/main" id="{00000000-0008-0000-0100-000097000000}"/>
                </a:ext>
              </a:extLst>
            </xdr:cNvPr>
            <xdr:cNvCxnSpPr/>
          </xdr:nvCxnSpPr>
          <xdr:spPr>
            <a:xfrm>
              <a:off x="22888864" y="2525568"/>
              <a:ext cx="101022" cy="11545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21</xdr:col>
      <xdr:colOff>707158</xdr:colOff>
      <xdr:row>32</xdr:row>
      <xdr:rowOff>51377</xdr:rowOff>
    </xdr:from>
    <xdr:to>
      <xdr:col>27</xdr:col>
      <xdr:colOff>202045</xdr:colOff>
      <xdr:row>44</xdr:row>
      <xdr:rowOff>83342</xdr:rowOff>
    </xdr:to>
    <xdr:grpSp>
      <xdr:nvGrpSpPr>
        <xdr:cNvPr id="160" name="Grupo 159">
          <a:extLst>
            <a:ext uri="{FF2B5EF4-FFF2-40B4-BE49-F238E27FC236}">
              <a16:creationId xmlns:a16="http://schemas.microsoft.com/office/drawing/2014/main" id="{00000000-0008-0000-0100-0000A0000000}"/>
            </a:ext>
          </a:extLst>
        </xdr:cNvPr>
        <xdr:cNvGrpSpPr/>
      </xdr:nvGrpSpPr>
      <xdr:grpSpPr>
        <a:xfrm>
          <a:off x="19673814" y="6325971"/>
          <a:ext cx="3781137" cy="2306059"/>
          <a:chOff x="19179885" y="975015"/>
          <a:chExt cx="3824433" cy="2402031"/>
        </a:xfrm>
      </xdr:grpSpPr>
      <xdr:cxnSp macro="">
        <xdr:nvCxnSpPr>
          <xdr:cNvPr id="161" name="Conector recto 160">
            <a:extLst>
              <a:ext uri="{FF2B5EF4-FFF2-40B4-BE49-F238E27FC236}">
                <a16:creationId xmlns:a16="http://schemas.microsoft.com/office/drawing/2014/main" id="{00000000-0008-0000-0100-0000A1000000}"/>
              </a:ext>
            </a:extLst>
          </xdr:cNvPr>
          <xdr:cNvCxnSpPr/>
        </xdr:nvCxnSpPr>
        <xdr:spPr>
          <a:xfrm flipV="1">
            <a:off x="21909231" y="975015"/>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62" name="Conector recto 161">
            <a:extLst>
              <a:ext uri="{FF2B5EF4-FFF2-40B4-BE49-F238E27FC236}">
                <a16:creationId xmlns:a16="http://schemas.microsoft.com/office/drawing/2014/main" id="{00000000-0008-0000-0100-0000A2000000}"/>
              </a:ext>
            </a:extLst>
          </xdr:cNvPr>
          <xdr:cNvCxnSpPr/>
        </xdr:nvCxnSpPr>
        <xdr:spPr>
          <a:xfrm>
            <a:off x="19179885" y="3218295"/>
            <a:ext cx="1" cy="15875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nvGrpSpPr>
          <xdr:cNvPr id="163" name="Grupo 162">
            <a:extLst>
              <a:ext uri="{FF2B5EF4-FFF2-40B4-BE49-F238E27FC236}">
                <a16:creationId xmlns:a16="http://schemas.microsoft.com/office/drawing/2014/main" id="{00000000-0008-0000-0100-0000A3000000}"/>
              </a:ext>
            </a:extLst>
          </xdr:cNvPr>
          <xdr:cNvGrpSpPr/>
        </xdr:nvGrpSpPr>
        <xdr:grpSpPr>
          <a:xfrm>
            <a:off x="19179886" y="983095"/>
            <a:ext cx="3824432" cy="2393951"/>
            <a:chOff x="19179886" y="983095"/>
            <a:chExt cx="3824432" cy="2393951"/>
          </a:xfrm>
        </xdr:grpSpPr>
        <xdr:sp macro="" textlink="">
          <xdr:nvSpPr>
            <xdr:cNvPr id="164" name="Rectángulo 163">
              <a:extLst>
                <a:ext uri="{FF2B5EF4-FFF2-40B4-BE49-F238E27FC236}">
                  <a16:creationId xmlns:a16="http://schemas.microsoft.com/office/drawing/2014/main" id="{00000000-0008-0000-0100-0000A4000000}"/>
                </a:ext>
              </a:extLst>
            </xdr:cNvPr>
            <xdr:cNvSpPr/>
          </xdr:nvSpPr>
          <xdr:spPr>
            <a:xfrm>
              <a:off x="19295341" y="1544204"/>
              <a:ext cx="2612158" cy="163079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xnSp macro="">
          <xdr:nvCxnSpPr>
            <xdr:cNvPr id="174" name="Conector recto 173">
              <a:extLst>
                <a:ext uri="{FF2B5EF4-FFF2-40B4-BE49-F238E27FC236}">
                  <a16:creationId xmlns:a16="http://schemas.microsoft.com/office/drawing/2014/main" id="{00000000-0008-0000-0100-0000AE000000}"/>
                </a:ext>
              </a:extLst>
            </xdr:cNvPr>
            <xdr:cNvCxnSpPr/>
          </xdr:nvCxnSpPr>
          <xdr:spPr>
            <a:xfrm flipH="1">
              <a:off x="21020809" y="1525154"/>
              <a:ext cx="1730" cy="1629064"/>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75" name="Conector recto 174">
              <a:extLst>
                <a:ext uri="{FF2B5EF4-FFF2-40B4-BE49-F238E27FC236}">
                  <a16:creationId xmlns:a16="http://schemas.microsoft.com/office/drawing/2014/main" id="{00000000-0008-0000-0100-0000AF000000}"/>
                </a:ext>
              </a:extLst>
            </xdr:cNvPr>
            <xdr:cNvCxnSpPr/>
          </xdr:nvCxnSpPr>
          <xdr:spPr>
            <a:xfrm flipH="1">
              <a:off x="19699432" y="1327728"/>
              <a:ext cx="256886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77" name="Conector recto 176">
              <a:extLst>
                <a:ext uri="{FF2B5EF4-FFF2-40B4-BE49-F238E27FC236}">
                  <a16:creationId xmlns:a16="http://schemas.microsoft.com/office/drawing/2014/main" id="{00000000-0008-0000-0100-0000B1000000}"/>
                </a:ext>
              </a:extLst>
            </xdr:cNvPr>
            <xdr:cNvCxnSpPr/>
          </xdr:nvCxnSpPr>
          <xdr:spPr>
            <a:xfrm flipV="1">
              <a:off x="21923662" y="2605810"/>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78" name="Conector recto 177">
              <a:extLst>
                <a:ext uri="{FF2B5EF4-FFF2-40B4-BE49-F238E27FC236}">
                  <a16:creationId xmlns:a16="http://schemas.microsoft.com/office/drawing/2014/main" id="{00000000-0008-0000-0100-0000B2000000}"/>
                </a:ext>
              </a:extLst>
            </xdr:cNvPr>
            <xdr:cNvCxnSpPr/>
          </xdr:nvCxnSpPr>
          <xdr:spPr>
            <a:xfrm flipH="1">
              <a:off x="22593877" y="1135495"/>
              <a:ext cx="1732" cy="171565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79" name="Conector recto 178">
              <a:extLst>
                <a:ext uri="{FF2B5EF4-FFF2-40B4-BE49-F238E27FC236}">
                  <a16:creationId xmlns:a16="http://schemas.microsoft.com/office/drawing/2014/main" id="{00000000-0008-0000-0100-0000B3000000}"/>
                </a:ext>
              </a:extLst>
            </xdr:cNvPr>
            <xdr:cNvCxnSpPr/>
          </xdr:nvCxnSpPr>
          <xdr:spPr>
            <a:xfrm flipV="1">
              <a:off x="19295342" y="995795"/>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80" name="Conector recto 179">
              <a:extLst>
                <a:ext uri="{FF2B5EF4-FFF2-40B4-BE49-F238E27FC236}">
                  <a16:creationId xmlns:a16="http://schemas.microsoft.com/office/drawing/2014/main" id="{00000000-0008-0000-0100-0000B4000000}"/>
                </a:ext>
              </a:extLst>
            </xdr:cNvPr>
            <xdr:cNvCxnSpPr/>
          </xdr:nvCxnSpPr>
          <xdr:spPr>
            <a:xfrm flipV="1">
              <a:off x="20126037" y="989445"/>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81" name="Conector recto 180">
              <a:extLst>
                <a:ext uri="{FF2B5EF4-FFF2-40B4-BE49-F238E27FC236}">
                  <a16:creationId xmlns:a16="http://schemas.microsoft.com/office/drawing/2014/main" id="{00000000-0008-0000-0100-0000B5000000}"/>
                </a:ext>
              </a:extLst>
            </xdr:cNvPr>
            <xdr:cNvCxnSpPr/>
          </xdr:nvCxnSpPr>
          <xdr:spPr>
            <a:xfrm flipV="1">
              <a:off x="21028892" y="983095"/>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82" name="Conector recto 181">
              <a:extLst>
                <a:ext uri="{FF2B5EF4-FFF2-40B4-BE49-F238E27FC236}">
                  <a16:creationId xmlns:a16="http://schemas.microsoft.com/office/drawing/2014/main" id="{00000000-0008-0000-0100-0000B6000000}"/>
                </a:ext>
              </a:extLst>
            </xdr:cNvPr>
            <xdr:cNvCxnSpPr/>
          </xdr:nvCxnSpPr>
          <xdr:spPr>
            <a:xfrm flipV="1">
              <a:off x="21921932" y="1144739"/>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83" name="Conector recto 182">
              <a:extLst>
                <a:ext uri="{FF2B5EF4-FFF2-40B4-BE49-F238E27FC236}">
                  <a16:creationId xmlns:a16="http://schemas.microsoft.com/office/drawing/2014/main" id="{00000000-0008-0000-0100-0000B7000000}"/>
                </a:ext>
              </a:extLst>
            </xdr:cNvPr>
            <xdr:cNvCxnSpPr/>
          </xdr:nvCxnSpPr>
          <xdr:spPr>
            <a:xfrm flipV="1">
              <a:off x="21915583" y="1323076"/>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84" name="Conector recto 183">
              <a:extLst>
                <a:ext uri="{FF2B5EF4-FFF2-40B4-BE49-F238E27FC236}">
                  <a16:creationId xmlns:a16="http://schemas.microsoft.com/office/drawing/2014/main" id="{00000000-0008-0000-0100-0000B8000000}"/>
                </a:ext>
              </a:extLst>
            </xdr:cNvPr>
            <xdr:cNvCxnSpPr/>
          </xdr:nvCxnSpPr>
          <xdr:spPr>
            <a:xfrm flipV="1">
              <a:off x="21894800" y="1531738"/>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85" name="Conector recto 184">
              <a:extLst>
                <a:ext uri="{FF2B5EF4-FFF2-40B4-BE49-F238E27FC236}">
                  <a16:creationId xmlns:a16="http://schemas.microsoft.com/office/drawing/2014/main" id="{00000000-0008-0000-0100-0000B9000000}"/>
                </a:ext>
              </a:extLst>
            </xdr:cNvPr>
            <xdr:cNvCxnSpPr/>
          </xdr:nvCxnSpPr>
          <xdr:spPr>
            <a:xfrm flipV="1">
              <a:off x="21888451" y="1740402"/>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87" name="Conector recto 186">
              <a:extLst>
                <a:ext uri="{FF2B5EF4-FFF2-40B4-BE49-F238E27FC236}">
                  <a16:creationId xmlns:a16="http://schemas.microsoft.com/office/drawing/2014/main" id="{00000000-0008-0000-0100-0000BB000000}"/>
                </a:ext>
              </a:extLst>
            </xdr:cNvPr>
            <xdr:cNvCxnSpPr/>
          </xdr:nvCxnSpPr>
          <xdr:spPr>
            <a:xfrm flipV="1">
              <a:off x="21890183" y="1908083"/>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88" name="Conector recto 187">
              <a:extLst>
                <a:ext uri="{FF2B5EF4-FFF2-40B4-BE49-F238E27FC236}">
                  <a16:creationId xmlns:a16="http://schemas.microsoft.com/office/drawing/2014/main" id="{00000000-0008-0000-0100-0000BC000000}"/>
                </a:ext>
              </a:extLst>
            </xdr:cNvPr>
            <xdr:cNvCxnSpPr/>
          </xdr:nvCxnSpPr>
          <xdr:spPr>
            <a:xfrm flipV="1">
              <a:off x="21915086" y="2108942"/>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89" name="Conector recto 188">
              <a:extLst>
                <a:ext uri="{FF2B5EF4-FFF2-40B4-BE49-F238E27FC236}">
                  <a16:creationId xmlns:a16="http://schemas.microsoft.com/office/drawing/2014/main" id="{00000000-0008-0000-0100-0000BD000000}"/>
                </a:ext>
              </a:extLst>
            </xdr:cNvPr>
            <xdr:cNvCxnSpPr/>
          </xdr:nvCxnSpPr>
          <xdr:spPr>
            <a:xfrm flipV="1">
              <a:off x="21891914" y="2323945"/>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90" name="Conector recto 189">
              <a:extLst>
                <a:ext uri="{FF2B5EF4-FFF2-40B4-BE49-F238E27FC236}">
                  <a16:creationId xmlns:a16="http://schemas.microsoft.com/office/drawing/2014/main" id="{00000000-0008-0000-0100-0000BE000000}"/>
                </a:ext>
              </a:extLst>
            </xdr:cNvPr>
            <xdr:cNvCxnSpPr/>
          </xdr:nvCxnSpPr>
          <xdr:spPr>
            <a:xfrm flipV="1">
              <a:off x="19179886" y="3377045"/>
              <a:ext cx="2770909" cy="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91" name="Conector recto 190">
              <a:extLst>
                <a:ext uri="{FF2B5EF4-FFF2-40B4-BE49-F238E27FC236}">
                  <a16:creationId xmlns:a16="http://schemas.microsoft.com/office/drawing/2014/main" id="{00000000-0008-0000-0100-0000BF000000}"/>
                </a:ext>
              </a:extLst>
            </xdr:cNvPr>
            <xdr:cNvCxnSpPr/>
          </xdr:nvCxnSpPr>
          <xdr:spPr>
            <a:xfrm flipV="1">
              <a:off x="19208753" y="3160568"/>
              <a:ext cx="72159" cy="5772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92" name="Conector recto 191">
              <a:extLst>
                <a:ext uri="{FF2B5EF4-FFF2-40B4-BE49-F238E27FC236}">
                  <a16:creationId xmlns:a16="http://schemas.microsoft.com/office/drawing/2014/main" id="{00000000-0008-0000-0100-0000C0000000}"/>
                </a:ext>
              </a:extLst>
            </xdr:cNvPr>
            <xdr:cNvCxnSpPr/>
          </xdr:nvCxnSpPr>
          <xdr:spPr>
            <a:xfrm flipV="1">
              <a:off x="21965227" y="2814205"/>
              <a:ext cx="1039091" cy="56284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93" name="Conector recto 192">
              <a:extLst>
                <a:ext uri="{FF2B5EF4-FFF2-40B4-BE49-F238E27FC236}">
                  <a16:creationId xmlns:a16="http://schemas.microsoft.com/office/drawing/2014/main" id="{00000000-0008-0000-0100-0000C1000000}"/>
                </a:ext>
              </a:extLst>
            </xdr:cNvPr>
            <xdr:cNvCxnSpPr/>
          </xdr:nvCxnSpPr>
          <xdr:spPr>
            <a:xfrm>
              <a:off x="22983533" y="2649106"/>
              <a:ext cx="1" cy="15875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94" name="Conector recto 193">
              <a:extLst>
                <a:ext uri="{FF2B5EF4-FFF2-40B4-BE49-F238E27FC236}">
                  <a16:creationId xmlns:a16="http://schemas.microsoft.com/office/drawing/2014/main" id="{00000000-0008-0000-0100-0000C2000000}"/>
                </a:ext>
              </a:extLst>
            </xdr:cNvPr>
            <xdr:cNvCxnSpPr/>
          </xdr:nvCxnSpPr>
          <xdr:spPr>
            <a:xfrm>
              <a:off x="22888864" y="2525568"/>
              <a:ext cx="101022" cy="11545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22</xdr:col>
      <xdr:colOff>84066</xdr:colOff>
      <xdr:row>36</xdr:row>
      <xdr:rowOff>0</xdr:rowOff>
    </xdr:from>
    <xdr:to>
      <xdr:col>25</xdr:col>
      <xdr:colOff>574748</xdr:colOff>
      <xdr:row>36</xdr:row>
      <xdr:rowOff>0</xdr:rowOff>
    </xdr:to>
    <xdr:cxnSp macro="">
      <xdr:nvCxnSpPr>
        <xdr:cNvPr id="202" name="Conector recto 201">
          <a:extLst>
            <a:ext uri="{FF2B5EF4-FFF2-40B4-BE49-F238E27FC236}">
              <a16:creationId xmlns:a16="http://schemas.microsoft.com/office/drawing/2014/main" id="{00000000-0008-0000-0100-0000CA000000}"/>
            </a:ext>
          </a:extLst>
        </xdr:cNvPr>
        <xdr:cNvCxnSpPr/>
      </xdr:nvCxnSpPr>
      <xdr:spPr>
        <a:xfrm>
          <a:off x="19515066" y="7250906"/>
          <a:ext cx="263380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73887</xdr:colOff>
      <xdr:row>36</xdr:row>
      <xdr:rowOff>174914</xdr:rowOff>
    </xdr:from>
    <xdr:to>
      <xdr:col>25</xdr:col>
      <xdr:colOff>564569</xdr:colOff>
      <xdr:row>36</xdr:row>
      <xdr:rowOff>174914</xdr:rowOff>
    </xdr:to>
    <xdr:cxnSp macro="">
      <xdr:nvCxnSpPr>
        <xdr:cNvPr id="204" name="Conector recto 203">
          <a:extLst>
            <a:ext uri="{FF2B5EF4-FFF2-40B4-BE49-F238E27FC236}">
              <a16:creationId xmlns:a16="http://schemas.microsoft.com/office/drawing/2014/main" id="{00000000-0008-0000-0100-0000CC000000}"/>
            </a:ext>
          </a:extLst>
        </xdr:cNvPr>
        <xdr:cNvCxnSpPr/>
      </xdr:nvCxnSpPr>
      <xdr:spPr>
        <a:xfrm>
          <a:off x="19504887" y="7425820"/>
          <a:ext cx="263380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67534</xdr:colOff>
      <xdr:row>37</xdr:row>
      <xdr:rowOff>182996</xdr:rowOff>
    </xdr:from>
    <xdr:to>
      <xdr:col>25</xdr:col>
      <xdr:colOff>558216</xdr:colOff>
      <xdr:row>37</xdr:row>
      <xdr:rowOff>182996</xdr:rowOff>
    </xdr:to>
    <xdr:cxnSp macro="">
      <xdr:nvCxnSpPr>
        <xdr:cNvPr id="205" name="Conector recto 204">
          <a:extLst>
            <a:ext uri="{FF2B5EF4-FFF2-40B4-BE49-F238E27FC236}">
              <a16:creationId xmlns:a16="http://schemas.microsoft.com/office/drawing/2014/main" id="{00000000-0008-0000-0100-0000CD000000}"/>
            </a:ext>
          </a:extLst>
        </xdr:cNvPr>
        <xdr:cNvCxnSpPr/>
      </xdr:nvCxnSpPr>
      <xdr:spPr>
        <a:xfrm>
          <a:off x="19498534" y="7624402"/>
          <a:ext cx="263380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75623</xdr:colOff>
      <xdr:row>38</xdr:row>
      <xdr:rowOff>176646</xdr:rowOff>
    </xdr:from>
    <xdr:to>
      <xdr:col>25</xdr:col>
      <xdr:colOff>566305</xdr:colOff>
      <xdr:row>38</xdr:row>
      <xdr:rowOff>176646</xdr:rowOff>
    </xdr:to>
    <xdr:cxnSp macro="">
      <xdr:nvCxnSpPr>
        <xdr:cNvPr id="206" name="Conector recto 205">
          <a:extLst>
            <a:ext uri="{FF2B5EF4-FFF2-40B4-BE49-F238E27FC236}">
              <a16:creationId xmlns:a16="http://schemas.microsoft.com/office/drawing/2014/main" id="{00000000-0008-0000-0100-0000CE000000}"/>
            </a:ext>
          </a:extLst>
        </xdr:cNvPr>
        <xdr:cNvCxnSpPr/>
      </xdr:nvCxnSpPr>
      <xdr:spPr>
        <a:xfrm>
          <a:off x="19269941" y="7710055"/>
          <a:ext cx="265545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69273</xdr:colOff>
      <xdr:row>39</xdr:row>
      <xdr:rowOff>155864</xdr:rowOff>
    </xdr:from>
    <xdr:to>
      <xdr:col>25</xdr:col>
      <xdr:colOff>559955</xdr:colOff>
      <xdr:row>39</xdr:row>
      <xdr:rowOff>155864</xdr:rowOff>
    </xdr:to>
    <xdr:cxnSp macro="">
      <xdr:nvCxnSpPr>
        <xdr:cNvPr id="207" name="Conector recto 206">
          <a:extLst>
            <a:ext uri="{FF2B5EF4-FFF2-40B4-BE49-F238E27FC236}">
              <a16:creationId xmlns:a16="http://schemas.microsoft.com/office/drawing/2014/main" id="{00000000-0008-0000-0100-0000CF000000}"/>
            </a:ext>
          </a:extLst>
        </xdr:cNvPr>
        <xdr:cNvCxnSpPr/>
      </xdr:nvCxnSpPr>
      <xdr:spPr>
        <a:xfrm>
          <a:off x="19263591" y="7876887"/>
          <a:ext cx="265545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77354</xdr:colOff>
      <xdr:row>40</xdr:row>
      <xdr:rowOff>163946</xdr:rowOff>
    </xdr:from>
    <xdr:to>
      <xdr:col>25</xdr:col>
      <xdr:colOff>568036</xdr:colOff>
      <xdr:row>40</xdr:row>
      <xdr:rowOff>163946</xdr:rowOff>
    </xdr:to>
    <xdr:cxnSp macro="">
      <xdr:nvCxnSpPr>
        <xdr:cNvPr id="208" name="Conector recto 207">
          <a:extLst>
            <a:ext uri="{FF2B5EF4-FFF2-40B4-BE49-F238E27FC236}">
              <a16:creationId xmlns:a16="http://schemas.microsoft.com/office/drawing/2014/main" id="{00000000-0008-0000-0100-0000D0000000}"/>
            </a:ext>
          </a:extLst>
        </xdr:cNvPr>
        <xdr:cNvCxnSpPr/>
      </xdr:nvCxnSpPr>
      <xdr:spPr>
        <a:xfrm>
          <a:off x="19271672" y="8072582"/>
          <a:ext cx="265545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99869</xdr:colOff>
      <xdr:row>41</xdr:row>
      <xdr:rowOff>157595</xdr:rowOff>
    </xdr:from>
    <xdr:to>
      <xdr:col>25</xdr:col>
      <xdr:colOff>590551</xdr:colOff>
      <xdr:row>41</xdr:row>
      <xdr:rowOff>157595</xdr:rowOff>
    </xdr:to>
    <xdr:cxnSp macro="">
      <xdr:nvCxnSpPr>
        <xdr:cNvPr id="209" name="Conector recto 208">
          <a:extLst>
            <a:ext uri="{FF2B5EF4-FFF2-40B4-BE49-F238E27FC236}">
              <a16:creationId xmlns:a16="http://schemas.microsoft.com/office/drawing/2014/main" id="{00000000-0008-0000-0100-0000D1000000}"/>
            </a:ext>
          </a:extLst>
        </xdr:cNvPr>
        <xdr:cNvCxnSpPr/>
      </xdr:nvCxnSpPr>
      <xdr:spPr>
        <a:xfrm>
          <a:off x="19294187" y="8253845"/>
          <a:ext cx="265545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238124</xdr:colOff>
      <xdr:row>35</xdr:row>
      <xdr:rowOff>23812</xdr:rowOff>
    </xdr:from>
    <xdr:to>
      <xdr:col>23</xdr:col>
      <xdr:colOff>238125</xdr:colOff>
      <xdr:row>43</xdr:row>
      <xdr:rowOff>107156</xdr:rowOff>
    </xdr:to>
    <xdr:cxnSp macro="">
      <xdr:nvCxnSpPr>
        <xdr:cNvPr id="211" name="Conector recto 210">
          <a:extLst>
            <a:ext uri="{FF2B5EF4-FFF2-40B4-BE49-F238E27FC236}">
              <a16:creationId xmlns:a16="http://schemas.microsoft.com/office/drawing/2014/main" id="{00000000-0008-0000-0100-0000D3000000}"/>
            </a:ext>
          </a:extLst>
        </xdr:cNvPr>
        <xdr:cNvCxnSpPr/>
      </xdr:nvCxnSpPr>
      <xdr:spPr>
        <a:xfrm flipH="1">
          <a:off x="20454937" y="6858000"/>
          <a:ext cx="1" cy="1607344"/>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189346</xdr:colOff>
      <xdr:row>34</xdr:row>
      <xdr:rowOff>2959</xdr:rowOff>
    </xdr:from>
    <xdr:to>
      <xdr:col>26</xdr:col>
      <xdr:colOff>190499</xdr:colOff>
      <xdr:row>42</xdr:row>
      <xdr:rowOff>71437</xdr:rowOff>
    </xdr:to>
    <xdr:cxnSp macro="">
      <xdr:nvCxnSpPr>
        <xdr:cNvPr id="212" name="Conector recto 211">
          <a:extLst>
            <a:ext uri="{FF2B5EF4-FFF2-40B4-BE49-F238E27FC236}">
              <a16:creationId xmlns:a16="http://schemas.microsoft.com/office/drawing/2014/main" id="{00000000-0008-0000-0100-0000D4000000}"/>
            </a:ext>
          </a:extLst>
        </xdr:cNvPr>
        <xdr:cNvCxnSpPr/>
      </xdr:nvCxnSpPr>
      <xdr:spPr>
        <a:xfrm>
          <a:off x="22549284" y="6646647"/>
          <a:ext cx="1153" cy="1592478"/>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109105</xdr:colOff>
      <xdr:row>32</xdr:row>
      <xdr:rowOff>45028</xdr:rowOff>
    </xdr:from>
    <xdr:to>
      <xdr:col>27</xdr:col>
      <xdr:colOff>110837</xdr:colOff>
      <xdr:row>40</xdr:row>
      <xdr:rowOff>43297</xdr:rowOff>
    </xdr:to>
    <xdr:cxnSp macro="">
      <xdr:nvCxnSpPr>
        <xdr:cNvPr id="213" name="Conector recto 212">
          <a:extLst>
            <a:ext uri="{FF2B5EF4-FFF2-40B4-BE49-F238E27FC236}">
              <a16:creationId xmlns:a16="http://schemas.microsoft.com/office/drawing/2014/main" id="{00000000-0008-0000-0100-0000D5000000}"/>
            </a:ext>
          </a:extLst>
        </xdr:cNvPr>
        <xdr:cNvCxnSpPr/>
      </xdr:nvCxnSpPr>
      <xdr:spPr>
        <a:xfrm flipH="1">
          <a:off x="22911378" y="6236278"/>
          <a:ext cx="1732" cy="171565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404091</xdr:colOff>
      <xdr:row>32</xdr:row>
      <xdr:rowOff>51378</xdr:rowOff>
    </xdr:from>
    <xdr:to>
      <xdr:col>27</xdr:col>
      <xdr:colOff>86592</xdr:colOff>
      <xdr:row>32</xdr:row>
      <xdr:rowOff>51378</xdr:rowOff>
    </xdr:to>
    <xdr:cxnSp macro="">
      <xdr:nvCxnSpPr>
        <xdr:cNvPr id="215" name="Conector recto 214">
          <a:extLst>
            <a:ext uri="{FF2B5EF4-FFF2-40B4-BE49-F238E27FC236}">
              <a16:creationId xmlns:a16="http://schemas.microsoft.com/office/drawing/2014/main" id="{00000000-0008-0000-0100-0000D7000000}"/>
            </a:ext>
          </a:extLst>
        </xdr:cNvPr>
        <xdr:cNvCxnSpPr/>
      </xdr:nvCxnSpPr>
      <xdr:spPr>
        <a:xfrm flipH="1">
          <a:off x="20320000" y="6242628"/>
          <a:ext cx="256886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123536</xdr:colOff>
      <xdr:row>33</xdr:row>
      <xdr:rowOff>45028</xdr:rowOff>
    </xdr:from>
    <xdr:to>
      <xdr:col>26</xdr:col>
      <xdr:colOff>527628</xdr:colOff>
      <xdr:row>33</xdr:row>
      <xdr:rowOff>45028</xdr:rowOff>
    </xdr:to>
    <xdr:cxnSp macro="">
      <xdr:nvCxnSpPr>
        <xdr:cNvPr id="216" name="Conector recto 215">
          <a:extLst>
            <a:ext uri="{FF2B5EF4-FFF2-40B4-BE49-F238E27FC236}">
              <a16:creationId xmlns:a16="http://schemas.microsoft.com/office/drawing/2014/main" id="{00000000-0008-0000-0100-0000D8000000}"/>
            </a:ext>
          </a:extLst>
        </xdr:cNvPr>
        <xdr:cNvCxnSpPr/>
      </xdr:nvCxnSpPr>
      <xdr:spPr>
        <a:xfrm flipH="1">
          <a:off x="20039445" y="6423892"/>
          <a:ext cx="256886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89405</xdr:colOff>
      <xdr:row>42</xdr:row>
      <xdr:rowOff>133783</xdr:rowOff>
    </xdr:from>
    <xdr:to>
      <xdr:col>25</xdr:col>
      <xdr:colOff>580087</xdr:colOff>
      <xdr:row>42</xdr:row>
      <xdr:rowOff>133783</xdr:rowOff>
    </xdr:to>
    <xdr:cxnSp macro="">
      <xdr:nvCxnSpPr>
        <xdr:cNvPr id="233" name="Conector recto 232">
          <a:extLst>
            <a:ext uri="{FF2B5EF4-FFF2-40B4-BE49-F238E27FC236}">
              <a16:creationId xmlns:a16="http://schemas.microsoft.com/office/drawing/2014/main" id="{00000000-0008-0000-0100-0000E9000000}"/>
            </a:ext>
          </a:extLst>
        </xdr:cNvPr>
        <xdr:cNvCxnSpPr/>
      </xdr:nvCxnSpPr>
      <xdr:spPr>
        <a:xfrm>
          <a:off x="19591843" y="8301471"/>
          <a:ext cx="263380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564283</xdr:colOff>
      <xdr:row>39</xdr:row>
      <xdr:rowOff>182345</xdr:rowOff>
    </xdr:from>
    <xdr:to>
      <xdr:col>27</xdr:col>
      <xdr:colOff>140602</xdr:colOff>
      <xdr:row>42</xdr:row>
      <xdr:rowOff>145106</xdr:rowOff>
    </xdr:to>
    <xdr:cxnSp macro="">
      <xdr:nvCxnSpPr>
        <xdr:cNvPr id="237" name="Conector recto 236">
          <a:extLst>
            <a:ext uri="{FF2B5EF4-FFF2-40B4-BE49-F238E27FC236}">
              <a16:creationId xmlns:a16="http://schemas.microsoft.com/office/drawing/2014/main" id="{00000000-0008-0000-0100-0000ED000000}"/>
            </a:ext>
          </a:extLst>
        </xdr:cNvPr>
        <xdr:cNvCxnSpPr/>
      </xdr:nvCxnSpPr>
      <xdr:spPr>
        <a:xfrm flipV="1">
          <a:off x="22209846" y="7778533"/>
          <a:ext cx="1005069" cy="53426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xdr:colOff>
      <xdr:row>67</xdr:row>
      <xdr:rowOff>-1</xdr:rowOff>
    </xdr:from>
    <xdr:to>
      <xdr:col>24</xdr:col>
      <xdr:colOff>476250</xdr:colOff>
      <xdr:row>73</xdr:row>
      <xdr:rowOff>35717</xdr:rowOff>
    </xdr:to>
    <xdr:sp macro="" textlink="">
      <xdr:nvSpPr>
        <xdr:cNvPr id="238" name="Rectángulo 237">
          <a:extLst>
            <a:ext uri="{FF2B5EF4-FFF2-40B4-BE49-F238E27FC236}">
              <a16:creationId xmlns:a16="http://schemas.microsoft.com/office/drawing/2014/main" id="{00000000-0008-0000-0100-0000EE000000}"/>
            </a:ext>
          </a:extLst>
        </xdr:cNvPr>
        <xdr:cNvSpPr/>
      </xdr:nvSpPr>
      <xdr:spPr>
        <a:xfrm>
          <a:off x="18788062" y="12549187"/>
          <a:ext cx="2619376" cy="117871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0</xdr:colOff>
      <xdr:row>70</xdr:row>
      <xdr:rowOff>23813</xdr:rowOff>
    </xdr:from>
    <xdr:to>
      <xdr:col>21</xdr:col>
      <xdr:colOff>523875</xdr:colOff>
      <xdr:row>73</xdr:row>
      <xdr:rowOff>35719</xdr:rowOff>
    </xdr:to>
    <xdr:sp macro="" textlink="">
      <xdr:nvSpPr>
        <xdr:cNvPr id="245" name="Rectángulo 244">
          <a:extLst>
            <a:ext uri="{FF2B5EF4-FFF2-40B4-BE49-F238E27FC236}">
              <a16:creationId xmlns:a16="http://schemas.microsoft.com/office/drawing/2014/main" id="{00000000-0008-0000-0100-0000F5000000}"/>
            </a:ext>
          </a:extLst>
        </xdr:cNvPr>
        <xdr:cNvSpPr/>
      </xdr:nvSpPr>
      <xdr:spPr>
        <a:xfrm>
          <a:off x="18788063" y="13525501"/>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27</xdr:col>
      <xdr:colOff>285749</xdr:colOff>
      <xdr:row>69</xdr:row>
      <xdr:rowOff>0</xdr:rowOff>
    </xdr:from>
    <xdr:to>
      <xdr:col>31</xdr:col>
      <xdr:colOff>59531</xdr:colOff>
      <xdr:row>71</xdr:row>
      <xdr:rowOff>130968</xdr:rowOff>
    </xdr:to>
    <xdr:sp macro="" textlink="">
      <xdr:nvSpPr>
        <xdr:cNvPr id="247" name="Rectángulo 246">
          <a:extLst>
            <a:ext uri="{FF2B5EF4-FFF2-40B4-BE49-F238E27FC236}">
              <a16:creationId xmlns:a16="http://schemas.microsoft.com/office/drawing/2014/main" id="{00000000-0008-0000-0100-0000F7000000}"/>
            </a:ext>
          </a:extLst>
        </xdr:cNvPr>
        <xdr:cNvSpPr/>
      </xdr:nvSpPr>
      <xdr:spPr>
        <a:xfrm>
          <a:off x="23360062" y="13311188"/>
          <a:ext cx="2631282" cy="51196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3575</xdr:colOff>
      <xdr:row>67</xdr:row>
      <xdr:rowOff>3576</xdr:rowOff>
    </xdr:from>
    <xdr:to>
      <xdr:col>21</xdr:col>
      <xdr:colOff>586981</xdr:colOff>
      <xdr:row>69</xdr:row>
      <xdr:rowOff>146451</xdr:rowOff>
    </xdr:to>
    <xdr:sp macro="" textlink="">
      <xdr:nvSpPr>
        <xdr:cNvPr id="248" name="Rectángulo 247">
          <a:extLst>
            <a:ext uri="{FF2B5EF4-FFF2-40B4-BE49-F238E27FC236}">
              <a16:creationId xmlns:a16="http://schemas.microsoft.com/office/drawing/2014/main" id="{00000000-0008-0000-0100-0000F8000000}"/>
            </a:ext>
          </a:extLst>
        </xdr:cNvPr>
        <xdr:cNvSpPr/>
      </xdr:nvSpPr>
      <xdr:spPr>
        <a:xfrm rot="5400000">
          <a:off x="18821403" y="12903999"/>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521494</xdr:colOff>
      <xdr:row>70</xdr:row>
      <xdr:rowOff>21432</xdr:rowOff>
    </xdr:from>
    <xdr:to>
      <xdr:col>22</xdr:col>
      <xdr:colOff>330994</xdr:colOff>
      <xdr:row>73</xdr:row>
      <xdr:rowOff>33338</xdr:rowOff>
    </xdr:to>
    <xdr:sp macro="" textlink="">
      <xdr:nvSpPr>
        <xdr:cNvPr id="249" name="Rectángulo 248">
          <a:extLst>
            <a:ext uri="{FF2B5EF4-FFF2-40B4-BE49-F238E27FC236}">
              <a16:creationId xmlns:a16="http://schemas.microsoft.com/office/drawing/2014/main" id="{00000000-0008-0000-0100-0000F9000000}"/>
            </a:ext>
          </a:extLst>
        </xdr:cNvPr>
        <xdr:cNvSpPr/>
      </xdr:nvSpPr>
      <xdr:spPr>
        <a:xfrm>
          <a:off x="19309557" y="13142120"/>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328613</xdr:colOff>
      <xdr:row>70</xdr:row>
      <xdr:rowOff>19050</xdr:rowOff>
    </xdr:from>
    <xdr:to>
      <xdr:col>23</xdr:col>
      <xdr:colOff>138113</xdr:colOff>
      <xdr:row>73</xdr:row>
      <xdr:rowOff>30956</xdr:rowOff>
    </xdr:to>
    <xdr:sp macro="" textlink="">
      <xdr:nvSpPr>
        <xdr:cNvPr id="250" name="Rectángulo 249">
          <a:extLst>
            <a:ext uri="{FF2B5EF4-FFF2-40B4-BE49-F238E27FC236}">
              <a16:creationId xmlns:a16="http://schemas.microsoft.com/office/drawing/2014/main" id="{00000000-0008-0000-0100-0000FA000000}"/>
            </a:ext>
          </a:extLst>
        </xdr:cNvPr>
        <xdr:cNvSpPr/>
      </xdr:nvSpPr>
      <xdr:spPr>
        <a:xfrm>
          <a:off x="19831051" y="13139738"/>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147638</xdr:colOff>
      <xdr:row>70</xdr:row>
      <xdr:rowOff>28576</xdr:rowOff>
    </xdr:from>
    <xdr:to>
      <xdr:col>23</xdr:col>
      <xdr:colOff>671513</xdr:colOff>
      <xdr:row>73</xdr:row>
      <xdr:rowOff>40482</xdr:rowOff>
    </xdr:to>
    <xdr:sp macro="" textlink="">
      <xdr:nvSpPr>
        <xdr:cNvPr id="251" name="Rectángulo 250">
          <a:extLst>
            <a:ext uri="{FF2B5EF4-FFF2-40B4-BE49-F238E27FC236}">
              <a16:creationId xmlns:a16="http://schemas.microsoft.com/office/drawing/2014/main" id="{00000000-0008-0000-0100-0000FB000000}"/>
            </a:ext>
          </a:extLst>
        </xdr:cNvPr>
        <xdr:cNvSpPr/>
      </xdr:nvSpPr>
      <xdr:spPr>
        <a:xfrm>
          <a:off x="20364451" y="13149264"/>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666750</xdr:colOff>
      <xdr:row>70</xdr:row>
      <xdr:rowOff>23812</xdr:rowOff>
    </xdr:from>
    <xdr:to>
      <xdr:col>24</xdr:col>
      <xdr:colOff>476250</xdr:colOff>
      <xdr:row>73</xdr:row>
      <xdr:rowOff>35718</xdr:rowOff>
    </xdr:to>
    <xdr:sp macro="" textlink="">
      <xdr:nvSpPr>
        <xdr:cNvPr id="252" name="Rectángulo 251">
          <a:extLst>
            <a:ext uri="{FF2B5EF4-FFF2-40B4-BE49-F238E27FC236}">
              <a16:creationId xmlns:a16="http://schemas.microsoft.com/office/drawing/2014/main" id="{00000000-0008-0000-0100-0000FC000000}"/>
            </a:ext>
          </a:extLst>
        </xdr:cNvPr>
        <xdr:cNvSpPr/>
      </xdr:nvSpPr>
      <xdr:spPr>
        <a:xfrm>
          <a:off x="20883563" y="13144500"/>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584600</xdr:colOff>
      <xdr:row>67</xdr:row>
      <xdr:rowOff>1196</xdr:rowOff>
    </xdr:from>
    <xdr:to>
      <xdr:col>22</xdr:col>
      <xdr:colOff>453631</xdr:colOff>
      <xdr:row>69</xdr:row>
      <xdr:rowOff>144071</xdr:rowOff>
    </xdr:to>
    <xdr:sp macro="" textlink="">
      <xdr:nvSpPr>
        <xdr:cNvPr id="253" name="Rectángulo 252">
          <a:extLst>
            <a:ext uri="{FF2B5EF4-FFF2-40B4-BE49-F238E27FC236}">
              <a16:creationId xmlns:a16="http://schemas.microsoft.com/office/drawing/2014/main" id="{00000000-0008-0000-0100-0000FD000000}"/>
            </a:ext>
          </a:extLst>
        </xdr:cNvPr>
        <xdr:cNvSpPr/>
      </xdr:nvSpPr>
      <xdr:spPr>
        <a:xfrm rot="5400000">
          <a:off x="19402428" y="12520619"/>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451251</xdr:colOff>
      <xdr:row>66</xdr:row>
      <xdr:rowOff>189316</xdr:rowOff>
    </xdr:from>
    <xdr:to>
      <xdr:col>23</xdr:col>
      <xdr:colOff>320282</xdr:colOff>
      <xdr:row>69</xdr:row>
      <xdr:rowOff>141691</xdr:rowOff>
    </xdr:to>
    <xdr:sp macro="" textlink="">
      <xdr:nvSpPr>
        <xdr:cNvPr id="254" name="Rectángulo 253">
          <a:extLst>
            <a:ext uri="{FF2B5EF4-FFF2-40B4-BE49-F238E27FC236}">
              <a16:creationId xmlns:a16="http://schemas.microsoft.com/office/drawing/2014/main" id="{00000000-0008-0000-0100-0000FE000000}"/>
            </a:ext>
          </a:extLst>
        </xdr:cNvPr>
        <xdr:cNvSpPr/>
      </xdr:nvSpPr>
      <xdr:spPr>
        <a:xfrm rot="5400000">
          <a:off x="19983454" y="12518239"/>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317900</xdr:colOff>
      <xdr:row>66</xdr:row>
      <xdr:rowOff>186934</xdr:rowOff>
    </xdr:from>
    <xdr:to>
      <xdr:col>24</xdr:col>
      <xdr:colOff>186931</xdr:colOff>
      <xdr:row>69</xdr:row>
      <xdr:rowOff>139309</xdr:rowOff>
    </xdr:to>
    <xdr:sp macro="" textlink="">
      <xdr:nvSpPr>
        <xdr:cNvPr id="255" name="Rectángulo 254">
          <a:extLst>
            <a:ext uri="{FF2B5EF4-FFF2-40B4-BE49-F238E27FC236}">
              <a16:creationId xmlns:a16="http://schemas.microsoft.com/office/drawing/2014/main" id="{00000000-0008-0000-0100-0000FF000000}"/>
            </a:ext>
          </a:extLst>
        </xdr:cNvPr>
        <xdr:cNvSpPr/>
      </xdr:nvSpPr>
      <xdr:spPr>
        <a:xfrm rot="5400000">
          <a:off x="20564478" y="12515857"/>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29</xdr:col>
      <xdr:colOff>431003</xdr:colOff>
      <xdr:row>69</xdr:row>
      <xdr:rowOff>14287</xdr:rowOff>
    </xdr:from>
    <xdr:to>
      <xdr:col>29</xdr:col>
      <xdr:colOff>431004</xdr:colOff>
      <xdr:row>71</xdr:row>
      <xdr:rowOff>121444</xdr:rowOff>
    </xdr:to>
    <xdr:cxnSp macro="">
      <xdr:nvCxnSpPr>
        <xdr:cNvPr id="268" name="Conector recto 267">
          <a:extLst>
            <a:ext uri="{FF2B5EF4-FFF2-40B4-BE49-F238E27FC236}">
              <a16:creationId xmlns:a16="http://schemas.microsoft.com/office/drawing/2014/main" id="{00000000-0008-0000-0100-00000C010000}"/>
            </a:ext>
          </a:extLst>
        </xdr:cNvPr>
        <xdr:cNvCxnSpPr/>
      </xdr:nvCxnSpPr>
      <xdr:spPr>
        <a:xfrm flipH="1">
          <a:off x="24934066" y="13325475"/>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616740</xdr:colOff>
      <xdr:row>68</xdr:row>
      <xdr:rowOff>188118</xdr:rowOff>
    </xdr:from>
    <xdr:to>
      <xdr:col>28</xdr:col>
      <xdr:colOff>616741</xdr:colOff>
      <xdr:row>71</xdr:row>
      <xdr:rowOff>104775</xdr:rowOff>
    </xdr:to>
    <xdr:cxnSp macro="">
      <xdr:nvCxnSpPr>
        <xdr:cNvPr id="265" name="Conector recto 264">
          <a:extLst>
            <a:ext uri="{FF2B5EF4-FFF2-40B4-BE49-F238E27FC236}">
              <a16:creationId xmlns:a16="http://schemas.microsoft.com/office/drawing/2014/main" id="{00000000-0008-0000-0100-000009010000}"/>
            </a:ext>
          </a:extLst>
        </xdr:cNvPr>
        <xdr:cNvCxnSpPr/>
      </xdr:nvCxnSpPr>
      <xdr:spPr>
        <a:xfrm flipH="1">
          <a:off x="24405428" y="13308806"/>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245266</xdr:colOff>
      <xdr:row>68</xdr:row>
      <xdr:rowOff>185737</xdr:rowOff>
    </xdr:from>
    <xdr:to>
      <xdr:col>30</xdr:col>
      <xdr:colOff>245267</xdr:colOff>
      <xdr:row>71</xdr:row>
      <xdr:rowOff>102394</xdr:rowOff>
    </xdr:to>
    <xdr:cxnSp macro="">
      <xdr:nvCxnSpPr>
        <xdr:cNvPr id="271" name="Conector recto 270">
          <a:extLst>
            <a:ext uri="{FF2B5EF4-FFF2-40B4-BE49-F238E27FC236}">
              <a16:creationId xmlns:a16="http://schemas.microsoft.com/office/drawing/2014/main" id="{00000000-0008-0000-0100-00000F010000}"/>
            </a:ext>
          </a:extLst>
        </xdr:cNvPr>
        <xdr:cNvCxnSpPr/>
      </xdr:nvCxnSpPr>
      <xdr:spPr>
        <a:xfrm flipH="1">
          <a:off x="25462704" y="13306425"/>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95249</xdr:colOff>
      <xdr:row>69</xdr:row>
      <xdr:rowOff>35717</xdr:rowOff>
    </xdr:from>
    <xdr:to>
      <xdr:col>28</xdr:col>
      <xdr:colOff>95250</xdr:colOff>
      <xdr:row>71</xdr:row>
      <xdr:rowOff>142874</xdr:rowOff>
    </xdr:to>
    <xdr:cxnSp macro="">
      <xdr:nvCxnSpPr>
        <xdr:cNvPr id="262" name="Conector recto 261">
          <a:extLst>
            <a:ext uri="{FF2B5EF4-FFF2-40B4-BE49-F238E27FC236}">
              <a16:creationId xmlns:a16="http://schemas.microsoft.com/office/drawing/2014/main" id="{00000000-0008-0000-0100-000006010000}"/>
            </a:ext>
          </a:extLst>
        </xdr:cNvPr>
        <xdr:cNvCxnSpPr/>
      </xdr:nvCxnSpPr>
      <xdr:spPr>
        <a:xfrm flipH="1">
          <a:off x="23883937" y="13346905"/>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59531</xdr:colOff>
      <xdr:row>67</xdr:row>
      <xdr:rowOff>35718</xdr:rowOff>
    </xdr:from>
    <xdr:to>
      <xdr:col>32</xdr:col>
      <xdr:colOff>511968</xdr:colOff>
      <xdr:row>69</xdr:row>
      <xdr:rowOff>0</xdr:rowOff>
    </xdr:to>
    <xdr:cxnSp macro="">
      <xdr:nvCxnSpPr>
        <xdr:cNvPr id="276" name="Conector recto 275">
          <a:extLst>
            <a:ext uri="{FF2B5EF4-FFF2-40B4-BE49-F238E27FC236}">
              <a16:creationId xmlns:a16="http://schemas.microsoft.com/office/drawing/2014/main" id="{00000000-0008-0000-0100-000014010000}"/>
            </a:ext>
          </a:extLst>
        </xdr:cNvPr>
        <xdr:cNvCxnSpPr/>
      </xdr:nvCxnSpPr>
      <xdr:spPr>
        <a:xfrm flipV="1">
          <a:off x="25991344" y="12203906"/>
          <a:ext cx="1166812" cy="345282"/>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280981</xdr:colOff>
      <xdr:row>66</xdr:row>
      <xdr:rowOff>185737</xdr:rowOff>
    </xdr:from>
    <xdr:to>
      <xdr:col>29</xdr:col>
      <xdr:colOff>233356</xdr:colOff>
      <xdr:row>68</xdr:row>
      <xdr:rowOff>173830</xdr:rowOff>
    </xdr:to>
    <xdr:cxnSp macro="">
      <xdr:nvCxnSpPr>
        <xdr:cNvPr id="278" name="Conector recto 277">
          <a:extLst>
            <a:ext uri="{FF2B5EF4-FFF2-40B4-BE49-F238E27FC236}">
              <a16:creationId xmlns:a16="http://schemas.microsoft.com/office/drawing/2014/main" id="{00000000-0008-0000-0100-000016010000}"/>
            </a:ext>
          </a:extLst>
        </xdr:cNvPr>
        <xdr:cNvCxnSpPr/>
      </xdr:nvCxnSpPr>
      <xdr:spPr>
        <a:xfrm flipV="1">
          <a:off x="23355294" y="12163425"/>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511968</xdr:colOff>
      <xdr:row>67</xdr:row>
      <xdr:rowOff>-1</xdr:rowOff>
    </xdr:from>
    <xdr:to>
      <xdr:col>32</xdr:col>
      <xdr:colOff>511972</xdr:colOff>
      <xdr:row>69</xdr:row>
      <xdr:rowOff>166687</xdr:rowOff>
    </xdr:to>
    <xdr:cxnSp macro="">
      <xdr:nvCxnSpPr>
        <xdr:cNvPr id="284" name="Conector recto 283">
          <a:extLst>
            <a:ext uri="{FF2B5EF4-FFF2-40B4-BE49-F238E27FC236}">
              <a16:creationId xmlns:a16="http://schemas.microsoft.com/office/drawing/2014/main" id="{00000000-0008-0000-0100-00001C010000}"/>
            </a:ext>
          </a:extLst>
        </xdr:cNvPr>
        <xdr:cNvCxnSpPr/>
      </xdr:nvCxnSpPr>
      <xdr:spPr>
        <a:xfrm flipH="1">
          <a:off x="27158156" y="12930187"/>
          <a:ext cx="4" cy="547688"/>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238124</xdr:colOff>
      <xdr:row>67</xdr:row>
      <xdr:rowOff>-1</xdr:rowOff>
    </xdr:from>
    <xdr:to>
      <xdr:col>32</xdr:col>
      <xdr:colOff>511968</xdr:colOff>
      <xdr:row>67</xdr:row>
      <xdr:rowOff>-1</xdr:rowOff>
    </xdr:to>
    <xdr:cxnSp macro="">
      <xdr:nvCxnSpPr>
        <xdr:cNvPr id="288" name="Conector recto 287">
          <a:extLst>
            <a:ext uri="{FF2B5EF4-FFF2-40B4-BE49-F238E27FC236}">
              <a16:creationId xmlns:a16="http://schemas.microsoft.com/office/drawing/2014/main" id="{00000000-0008-0000-0100-000020010000}"/>
            </a:ext>
          </a:extLst>
        </xdr:cNvPr>
        <xdr:cNvCxnSpPr/>
      </xdr:nvCxnSpPr>
      <xdr:spPr>
        <a:xfrm flipH="1">
          <a:off x="24741187" y="12168187"/>
          <a:ext cx="2416969"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595312</xdr:colOff>
      <xdr:row>67</xdr:row>
      <xdr:rowOff>178593</xdr:rowOff>
    </xdr:from>
    <xdr:to>
      <xdr:col>31</xdr:col>
      <xdr:colOff>595315</xdr:colOff>
      <xdr:row>70</xdr:row>
      <xdr:rowOff>154781</xdr:rowOff>
    </xdr:to>
    <xdr:cxnSp macro="">
      <xdr:nvCxnSpPr>
        <xdr:cNvPr id="291" name="Conector recto 290">
          <a:extLst>
            <a:ext uri="{FF2B5EF4-FFF2-40B4-BE49-F238E27FC236}">
              <a16:creationId xmlns:a16="http://schemas.microsoft.com/office/drawing/2014/main" id="{00000000-0008-0000-0100-000023010000}"/>
            </a:ext>
          </a:extLst>
        </xdr:cNvPr>
        <xdr:cNvCxnSpPr/>
      </xdr:nvCxnSpPr>
      <xdr:spPr>
        <a:xfrm flipH="1">
          <a:off x="26527125" y="13108781"/>
          <a:ext cx="3" cy="547688"/>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45243</xdr:colOff>
      <xdr:row>69</xdr:row>
      <xdr:rowOff>152399</xdr:rowOff>
    </xdr:from>
    <xdr:to>
      <xdr:col>32</xdr:col>
      <xdr:colOff>497680</xdr:colOff>
      <xdr:row>71</xdr:row>
      <xdr:rowOff>116681</xdr:rowOff>
    </xdr:to>
    <xdr:cxnSp macro="">
      <xdr:nvCxnSpPr>
        <xdr:cNvPr id="299" name="Conector recto 298">
          <a:extLst>
            <a:ext uri="{FF2B5EF4-FFF2-40B4-BE49-F238E27FC236}">
              <a16:creationId xmlns:a16="http://schemas.microsoft.com/office/drawing/2014/main" id="{00000000-0008-0000-0100-00002B010000}"/>
            </a:ext>
          </a:extLst>
        </xdr:cNvPr>
        <xdr:cNvCxnSpPr/>
      </xdr:nvCxnSpPr>
      <xdr:spPr>
        <a:xfrm flipV="1">
          <a:off x="25977056" y="12701587"/>
          <a:ext cx="1166812" cy="345282"/>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135729</xdr:colOff>
      <xdr:row>67</xdr:row>
      <xdr:rowOff>4762</xdr:rowOff>
    </xdr:from>
    <xdr:to>
      <xdr:col>30</xdr:col>
      <xdr:colOff>88104</xdr:colOff>
      <xdr:row>68</xdr:row>
      <xdr:rowOff>183355</xdr:rowOff>
    </xdr:to>
    <xdr:cxnSp macro="">
      <xdr:nvCxnSpPr>
        <xdr:cNvPr id="302" name="Conector recto 301">
          <a:extLst>
            <a:ext uri="{FF2B5EF4-FFF2-40B4-BE49-F238E27FC236}">
              <a16:creationId xmlns:a16="http://schemas.microsoft.com/office/drawing/2014/main" id="{00000000-0008-0000-0100-00002E010000}"/>
            </a:ext>
          </a:extLst>
        </xdr:cNvPr>
        <xdr:cNvCxnSpPr/>
      </xdr:nvCxnSpPr>
      <xdr:spPr>
        <a:xfrm flipV="1">
          <a:off x="23924417" y="12172950"/>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621503</xdr:colOff>
      <xdr:row>67</xdr:row>
      <xdr:rowOff>2381</xdr:rowOff>
    </xdr:from>
    <xdr:to>
      <xdr:col>30</xdr:col>
      <xdr:colOff>573878</xdr:colOff>
      <xdr:row>68</xdr:row>
      <xdr:rowOff>180974</xdr:rowOff>
    </xdr:to>
    <xdr:cxnSp macro="">
      <xdr:nvCxnSpPr>
        <xdr:cNvPr id="303" name="Conector recto 302">
          <a:extLst>
            <a:ext uri="{FF2B5EF4-FFF2-40B4-BE49-F238E27FC236}">
              <a16:creationId xmlns:a16="http://schemas.microsoft.com/office/drawing/2014/main" id="{00000000-0008-0000-0100-00002F010000}"/>
            </a:ext>
          </a:extLst>
        </xdr:cNvPr>
        <xdr:cNvCxnSpPr/>
      </xdr:nvCxnSpPr>
      <xdr:spPr>
        <a:xfrm flipV="1">
          <a:off x="24410191" y="12170569"/>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416716</xdr:colOff>
      <xdr:row>67</xdr:row>
      <xdr:rowOff>11906</xdr:rowOff>
    </xdr:from>
    <xdr:to>
      <xdr:col>31</xdr:col>
      <xdr:colOff>369091</xdr:colOff>
      <xdr:row>69</xdr:row>
      <xdr:rowOff>-1</xdr:rowOff>
    </xdr:to>
    <xdr:cxnSp macro="">
      <xdr:nvCxnSpPr>
        <xdr:cNvPr id="304" name="Conector recto 303">
          <a:extLst>
            <a:ext uri="{FF2B5EF4-FFF2-40B4-BE49-F238E27FC236}">
              <a16:creationId xmlns:a16="http://schemas.microsoft.com/office/drawing/2014/main" id="{00000000-0008-0000-0100-000030010000}"/>
            </a:ext>
          </a:extLst>
        </xdr:cNvPr>
        <xdr:cNvCxnSpPr/>
      </xdr:nvCxnSpPr>
      <xdr:spPr>
        <a:xfrm flipV="1">
          <a:off x="24919779" y="12180094"/>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235742</xdr:colOff>
      <xdr:row>67</xdr:row>
      <xdr:rowOff>9525</xdr:rowOff>
    </xdr:from>
    <xdr:to>
      <xdr:col>32</xdr:col>
      <xdr:colOff>188117</xdr:colOff>
      <xdr:row>68</xdr:row>
      <xdr:rowOff>188118</xdr:rowOff>
    </xdr:to>
    <xdr:cxnSp macro="">
      <xdr:nvCxnSpPr>
        <xdr:cNvPr id="305" name="Conector recto 304">
          <a:extLst>
            <a:ext uri="{FF2B5EF4-FFF2-40B4-BE49-F238E27FC236}">
              <a16:creationId xmlns:a16="http://schemas.microsoft.com/office/drawing/2014/main" id="{00000000-0008-0000-0100-000031010000}"/>
            </a:ext>
          </a:extLst>
        </xdr:cNvPr>
        <xdr:cNvCxnSpPr/>
      </xdr:nvCxnSpPr>
      <xdr:spPr>
        <a:xfrm flipV="1">
          <a:off x="25453180" y="12177713"/>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330992</xdr:colOff>
      <xdr:row>67</xdr:row>
      <xdr:rowOff>164305</xdr:rowOff>
    </xdr:from>
    <xdr:to>
      <xdr:col>31</xdr:col>
      <xdr:colOff>604836</xdr:colOff>
      <xdr:row>67</xdr:row>
      <xdr:rowOff>164305</xdr:rowOff>
    </xdr:to>
    <xdr:cxnSp macro="">
      <xdr:nvCxnSpPr>
        <xdr:cNvPr id="313" name="Conector recto 312">
          <a:extLst>
            <a:ext uri="{FF2B5EF4-FFF2-40B4-BE49-F238E27FC236}">
              <a16:creationId xmlns:a16="http://schemas.microsoft.com/office/drawing/2014/main" id="{00000000-0008-0000-0100-000039010000}"/>
            </a:ext>
          </a:extLst>
        </xdr:cNvPr>
        <xdr:cNvCxnSpPr/>
      </xdr:nvCxnSpPr>
      <xdr:spPr>
        <a:xfrm flipH="1">
          <a:off x="24119680" y="12332493"/>
          <a:ext cx="2416969"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xdr:colOff>
      <xdr:row>92</xdr:row>
      <xdr:rowOff>190499</xdr:rowOff>
    </xdr:from>
    <xdr:to>
      <xdr:col>24</xdr:col>
      <xdr:colOff>523874</xdr:colOff>
      <xdr:row>99</xdr:row>
      <xdr:rowOff>35717</xdr:rowOff>
    </xdr:to>
    <xdr:sp macro="" textlink="">
      <xdr:nvSpPr>
        <xdr:cNvPr id="332" name="Rectángulo 331">
          <a:extLst>
            <a:ext uri="{FF2B5EF4-FFF2-40B4-BE49-F238E27FC236}">
              <a16:creationId xmlns:a16="http://schemas.microsoft.com/office/drawing/2014/main" id="{00000000-0008-0000-0100-00004C010000}"/>
            </a:ext>
          </a:extLst>
        </xdr:cNvPr>
        <xdr:cNvSpPr/>
      </xdr:nvSpPr>
      <xdr:spPr>
        <a:xfrm>
          <a:off x="18788062" y="17871280"/>
          <a:ext cx="2667000" cy="117871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601</xdr:colOff>
      <xdr:row>96</xdr:row>
      <xdr:rowOff>27985</xdr:rowOff>
    </xdr:from>
    <xdr:to>
      <xdr:col>21</xdr:col>
      <xdr:colOff>456606</xdr:colOff>
      <xdr:row>99</xdr:row>
      <xdr:rowOff>39891</xdr:rowOff>
    </xdr:to>
    <xdr:sp macro="" textlink="">
      <xdr:nvSpPr>
        <xdr:cNvPr id="341" name="Rectángulo 340">
          <a:extLst>
            <a:ext uri="{FF2B5EF4-FFF2-40B4-BE49-F238E27FC236}">
              <a16:creationId xmlns:a16="http://schemas.microsoft.com/office/drawing/2014/main" id="{00000000-0008-0000-0100-000055010000}"/>
            </a:ext>
          </a:extLst>
        </xdr:cNvPr>
        <xdr:cNvSpPr/>
      </xdr:nvSpPr>
      <xdr:spPr>
        <a:xfrm>
          <a:off x="18788664" y="18470766"/>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450657</xdr:colOff>
      <xdr:row>96</xdr:row>
      <xdr:rowOff>25604</xdr:rowOff>
    </xdr:from>
    <xdr:to>
      <xdr:col>22</xdr:col>
      <xdr:colOff>192287</xdr:colOff>
      <xdr:row>99</xdr:row>
      <xdr:rowOff>37510</xdr:rowOff>
    </xdr:to>
    <xdr:sp macro="" textlink="">
      <xdr:nvSpPr>
        <xdr:cNvPr id="345" name="Rectángulo 344">
          <a:extLst>
            <a:ext uri="{FF2B5EF4-FFF2-40B4-BE49-F238E27FC236}">
              <a16:creationId xmlns:a16="http://schemas.microsoft.com/office/drawing/2014/main" id="{00000000-0008-0000-0100-000059010000}"/>
            </a:ext>
          </a:extLst>
        </xdr:cNvPr>
        <xdr:cNvSpPr/>
      </xdr:nvSpPr>
      <xdr:spPr>
        <a:xfrm>
          <a:off x="19238720" y="1846838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24</xdr:col>
      <xdr:colOff>67274</xdr:colOff>
      <xdr:row>92</xdr:row>
      <xdr:rowOff>189910</xdr:rowOff>
    </xdr:from>
    <xdr:to>
      <xdr:col>24</xdr:col>
      <xdr:colOff>523279</xdr:colOff>
      <xdr:row>96</xdr:row>
      <xdr:rowOff>11316</xdr:rowOff>
    </xdr:to>
    <xdr:sp macro="" textlink="">
      <xdr:nvSpPr>
        <xdr:cNvPr id="346" name="Rectángulo 345">
          <a:extLst>
            <a:ext uri="{FF2B5EF4-FFF2-40B4-BE49-F238E27FC236}">
              <a16:creationId xmlns:a16="http://schemas.microsoft.com/office/drawing/2014/main" id="{00000000-0008-0000-0100-00005A010000}"/>
            </a:ext>
          </a:extLst>
        </xdr:cNvPr>
        <xdr:cNvSpPr/>
      </xdr:nvSpPr>
      <xdr:spPr>
        <a:xfrm>
          <a:off x="20998462" y="17870691"/>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326830</xdr:colOff>
      <xdr:row>92</xdr:row>
      <xdr:rowOff>187529</xdr:rowOff>
    </xdr:from>
    <xdr:to>
      <xdr:col>24</xdr:col>
      <xdr:colOff>68460</xdr:colOff>
      <xdr:row>96</xdr:row>
      <xdr:rowOff>8935</xdr:rowOff>
    </xdr:to>
    <xdr:sp macro="" textlink="">
      <xdr:nvSpPr>
        <xdr:cNvPr id="347" name="Rectángulo 346">
          <a:extLst>
            <a:ext uri="{FF2B5EF4-FFF2-40B4-BE49-F238E27FC236}">
              <a16:creationId xmlns:a16="http://schemas.microsoft.com/office/drawing/2014/main" id="{00000000-0008-0000-0100-00005B010000}"/>
            </a:ext>
          </a:extLst>
        </xdr:cNvPr>
        <xdr:cNvSpPr/>
      </xdr:nvSpPr>
      <xdr:spPr>
        <a:xfrm>
          <a:off x="20543643" y="17868310"/>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20</xdr:col>
      <xdr:colOff>713188</xdr:colOff>
      <xdr:row>92</xdr:row>
      <xdr:rowOff>189316</xdr:rowOff>
    </xdr:from>
    <xdr:to>
      <xdr:col>21</xdr:col>
      <xdr:colOff>582219</xdr:colOff>
      <xdr:row>95</xdr:row>
      <xdr:rowOff>73821</xdr:rowOff>
    </xdr:to>
    <xdr:sp macro="" textlink="">
      <xdr:nvSpPr>
        <xdr:cNvPr id="348" name="Rectángulo 347">
          <a:extLst>
            <a:ext uri="{FF2B5EF4-FFF2-40B4-BE49-F238E27FC236}">
              <a16:creationId xmlns:a16="http://schemas.microsoft.com/office/drawing/2014/main" id="{00000000-0008-0000-0100-00005C010000}"/>
            </a:ext>
          </a:extLst>
        </xdr:cNvPr>
        <xdr:cNvSpPr/>
      </xdr:nvSpPr>
      <xdr:spPr>
        <a:xfrm rot="16200000">
          <a:off x="18850576" y="17806397"/>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579838</xdr:colOff>
      <xdr:row>92</xdr:row>
      <xdr:rowOff>186935</xdr:rowOff>
    </xdr:from>
    <xdr:to>
      <xdr:col>22</xdr:col>
      <xdr:colOff>448869</xdr:colOff>
      <xdr:row>95</xdr:row>
      <xdr:rowOff>71440</xdr:rowOff>
    </xdr:to>
    <xdr:sp macro="" textlink="">
      <xdr:nvSpPr>
        <xdr:cNvPr id="349" name="Rectángulo 348">
          <a:extLst>
            <a:ext uri="{FF2B5EF4-FFF2-40B4-BE49-F238E27FC236}">
              <a16:creationId xmlns:a16="http://schemas.microsoft.com/office/drawing/2014/main" id="{00000000-0008-0000-0100-00005D010000}"/>
            </a:ext>
          </a:extLst>
        </xdr:cNvPr>
        <xdr:cNvSpPr/>
      </xdr:nvSpPr>
      <xdr:spPr>
        <a:xfrm rot="16200000">
          <a:off x="19431601" y="17804016"/>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446489</xdr:colOff>
      <xdr:row>92</xdr:row>
      <xdr:rowOff>184554</xdr:rowOff>
    </xdr:from>
    <xdr:to>
      <xdr:col>23</xdr:col>
      <xdr:colOff>315520</xdr:colOff>
      <xdr:row>95</xdr:row>
      <xdr:rowOff>69059</xdr:rowOff>
    </xdr:to>
    <xdr:sp macro="" textlink="">
      <xdr:nvSpPr>
        <xdr:cNvPr id="350" name="Rectángulo 349">
          <a:extLst>
            <a:ext uri="{FF2B5EF4-FFF2-40B4-BE49-F238E27FC236}">
              <a16:creationId xmlns:a16="http://schemas.microsoft.com/office/drawing/2014/main" id="{00000000-0008-0000-0100-00005E010000}"/>
            </a:ext>
          </a:extLst>
        </xdr:cNvPr>
        <xdr:cNvSpPr/>
      </xdr:nvSpPr>
      <xdr:spPr>
        <a:xfrm rot="16200000">
          <a:off x="20012627" y="1780163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194074</xdr:colOff>
      <xdr:row>96</xdr:row>
      <xdr:rowOff>154784</xdr:rowOff>
    </xdr:from>
    <xdr:to>
      <xdr:col>23</xdr:col>
      <xdr:colOff>63105</xdr:colOff>
      <xdr:row>99</xdr:row>
      <xdr:rowOff>30962</xdr:rowOff>
    </xdr:to>
    <xdr:sp macro="" textlink="">
      <xdr:nvSpPr>
        <xdr:cNvPr id="351" name="Rectángulo 350">
          <a:extLst>
            <a:ext uri="{FF2B5EF4-FFF2-40B4-BE49-F238E27FC236}">
              <a16:creationId xmlns:a16="http://schemas.microsoft.com/office/drawing/2014/main" id="{00000000-0008-0000-0100-00005F010000}"/>
            </a:ext>
          </a:extLst>
        </xdr:cNvPr>
        <xdr:cNvSpPr/>
      </xdr:nvSpPr>
      <xdr:spPr>
        <a:xfrm rot="5400000">
          <a:off x="19764376" y="18529701"/>
          <a:ext cx="447678"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644132</xdr:colOff>
      <xdr:row>96</xdr:row>
      <xdr:rowOff>155984</xdr:rowOff>
    </xdr:from>
    <xdr:to>
      <xdr:col>24</xdr:col>
      <xdr:colOff>513163</xdr:colOff>
      <xdr:row>99</xdr:row>
      <xdr:rowOff>40489</xdr:rowOff>
    </xdr:to>
    <xdr:sp macro="" textlink="">
      <xdr:nvSpPr>
        <xdr:cNvPr id="352" name="Rectángulo 351">
          <a:extLst>
            <a:ext uri="{FF2B5EF4-FFF2-40B4-BE49-F238E27FC236}">
              <a16:creationId xmlns:a16="http://schemas.microsoft.com/office/drawing/2014/main" id="{00000000-0008-0000-0100-000060010000}"/>
            </a:ext>
          </a:extLst>
        </xdr:cNvPr>
        <xdr:cNvSpPr/>
      </xdr:nvSpPr>
      <xdr:spPr>
        <a:xfrm rot="5400000">
          <a:off x="20924645" y="1853506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58346</xdr:colOff>
      <xdr:row>96</xdr:row>
      <xdr:rowOff>153600</xdr:rowOff>
    </xdr:from>
    <xdr:to>
      <xdr:col>23</xdr:col>
      <xdr:colOff>641752</xdr:colOff>
      <xdr:row>99</xdr:row>
      <xdr:rowOff>38105</xdr:rowOff>
    </xdr:to>
    <xdr:sp macro="" textlink="">
      <xdr:nvSpPr>
        <xdr:cNvPr id="353" name="Rectángulo 352">
          <a:extLst>
            <a:ext uri="{FF2B5EF4-FFF2-40B4-BE49-F238E27FC236}">
              <a16:creationId xmlns:a16="http://schemas.microsoft.com/office/drawing/2014/main" id="{00000000-0008-0000-0100-000061010000}"/>
            </a:ext>
          </a:extLst>
        </xdr:cNvPr>
        <xdr:cNvSpPr/>
      </xdr:nvSpPr>
      <xdr:spPr>
        <a:xfrm rot="5400000">
          <a:off x="20338859" y="18532681"/>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27</xdr:col>
      <xdr:colOff>285749</xdr:colOff>
      <xdr:row>95</xdr:row>
      <xdr:rowOff>0</xdr:rowOff>
    </xdr:from>
    <xdr:to>
      <xdr:col>31</xdr:col>
      <xdr:colOff>59531</xdr:colOff>
      <xdr:row>97</xdr:row>
      <xdr:rowOff>130968</xdr:rowOff>
    </xdr:to>
    <xdr:sp macro="" textlink="">
      <xdr:nvSpPr>
        <xdr:cNvPr id="354" name="Rectángulo 353">
          <a:extLst>
            <a:ext uri="{FF2B5EF4-FFF2-40B4-BE49-F238E27FC236}">
              <a16:creationId xmlns:a16="http://schemas.microsoft.com/office/drawing/2014/main" id="{00000000-0008-0000-0100-000062010000}"/>
            </a:ext>
          </a:extLst>
        </xdr:cNvPr>
        <xdr:cNvSpPr/>
      </xdr:nvSpPr>
      <xdr:spPr>
        <a:xfrm>
          <a:off x="23360062" y="13311188"/>
          <a:ext cx="2631282" cy="51196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29</xdr:col>
      <xdr:colOff>585781</xdr:colOff>
      <xdr:row>95</xdr:row>
      <xdr:rowOff>14287</xdr:rowOff>
    </xdr:from>
    <xdr:to>
      <xdr:col>29</xdr:col>
      <xdr:colOff>585782</xdr:colOff>
      <xdr:row>97</xdr:row>
      <xdr:rowOff>121444</xdr:rowOff>
    </xdr:to>
    <xdr:cxnSp macro="">
      <xdr:nvCxnSpPr>
        <xdr:cNvPr id="355" name="Conector recto 354">
          <a:extLst>
            <a:ext uri="{FF2B5EF4-FFF2-40B4-BE49-F238E27FC236}">
              <a16:creationId xmlns:a16="http://schemas.microsoft.com/office/drawing/2014/main" id="{00000000-0008-0000-0100-000063010000}"/>
            </a:ext>
          </a:extLst>
        </xdr:cNvPr>
        <xdr:cNvCxnSpPr/>
      </xdr:nvCxnSpPr>
      <xdr:spPr>
        <a:xfrm flipH="1">
          <a:off x="25088844" y="18266568"/>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711988</xdr:colOff>
      <xdr:row>94</xdr:row>
      <xdr:rowOff>188118</xdr:rowOff>
    </xdr:from>
    <xdr:to>
      <xdr:col>28</xdr:col>
      <xdr:colOff>711989</xdr:colOff>
      <xdr:row>97</xdr:row>
      <xdr:rowOff>104775</xdr:rowOff>
    </xdr:to>
    <xdr:cxnSp macro="">
      <xdr:nvCxnSpPr>
        <xdr:cNvPr id="356" name="Conector recto 355">
          <a:extLst>
            <a:ext uri="{FF2B5EF4-FFF2-40B4-BE49-F238E27FC236}">
              <a16:creationId xmlns:a16="http://schemas.microsoft.com/office/drawing/2014/main" id="{00000000-0008-0000-0100-000064010000}"/>
            </a:ext>
          </a:extLst>
        </xdr:cNvPr>
        <xdr:cNvCxnSpPr/>
      </xdr:nvCxnSpPr>
      <xdr:spPr>
        <a:xfrm flipH="1">
          <a:off x="24500676" y="18249899"/>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316702</xdr:colOff>
      <xdr:row>94</xdr:row>
      <xdr:rowOff>185737</xdr:rowOff>
    </xdr:from>
    <xdr:to>
      <xdr:col>30</xdr:col>
      <xdr:colOff>316703</xdr:colOff>
      <xdr:row>97</xdr:row>
      <xdr:rowOff>102394</xdr:rowOff>
    </xdr:to>
    <xdr:cxnSp macro="">
      <xdr:nvCxnSpPr>
        <xdr:cNvPr id="357" name="Conector recto 356">
          <a:extLst>
            <a:ext uri="{FF2B5EF4-FFF2-40B4-BE49-F238E27FC236}">
              <a16:creationId xmlns:a16="http://schemas.microsoft.com/office/drawing/2014/main" id="{00000000-0008-0000-0100-000065010000}"/>
            </a:ext>
          </a:extLst>
        </xdr:cNvPr>
        <xdr:cNvCxnSpPr/>
      </xdr:nvCxnSpPr>
      <xdr:spPr>
        <a:xfrm flipH="1">
          <a:off x="25534140" y="18247518"/>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130965</xdr:colOff>
      <xdr:row>95</xdr:row>
      <xdr:rowOff>35717</xdr:rowOff>
    </xdr:from>
    <xdr:to>
      <xdr:col>28</xdr:col>
      <xdr:colOff>130966</xdr:colOff>
      <xdr:row>97</xdr:row>
      <xdr:rowOff>142874</xdr:rowOff>
    </xdr:to>
    <xdr:cxnSp macro="">
      <xdr:nvCxnSpPr>
        <xdr:cNvPr id="358" name="Conector recto 357">
          <a:extLst>
            <a:ext uri="{FF2B5EF4-FFF2-40B4-BE49-F238E27FC236}">
              <a16:creationId xmlns:a16="http://schemas.microsoft.com/office/drawing/2014/main" id="{00000000-0008-0000-0100-000066010000}"/>
            </a:ext>
          </a:extLst>
        </xdr:cNvPr>
        <xdr:cNvCxnSpPr/>
      </xdr:nvCxnSpPr>
      <xdr:spPr>
        <a:xfrm flipH="1">
          <a:off x="23919653" y="18287998"/>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280981</xdr:colOff>
      <xdr:row>92</xdr:row>
      <xdr:rowOff>185737</xdr:rowOff>
    </xdr:from>
    <xdr:to>
      <xdr:col>29</xdr:col>
      <xdr:colOff>233356</xdr:colOff>
      <xdr:row>94</xdr:row>
      <xdr:rowOff>173830</xdr:rowOff>
    </xdr:to>
    <xdr:cxnSp macro="">
      <xdr:nvCxnSpPr>
        <xdr:cNvPr id="360" name="Conector recto 359">
          <a:extLst>
            <a:ext uri="{FF2B5EF4-FFF2-40B4-BE49-F238E27FC236}">
              <a16:creationId xmlns:a16="http://schemas.microsoft.com/office/drawing/2014/main" id="{00000000-0008-0000-0100-000068010000}"/>
            </a:ext>
          </a:extLst>
        </xdr:cNvPr>
        <xdr:cNvCxnSpPr/>
      </xdr:nvCxnSpPr>
      <xdr:spPr>
        <a:xfrm flipV="1">
          <a:off x="23355294" y="12925425"/>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381002</xdr:colOff>
      <xdr:row>92</xdr:row>
      <xdr:rowOff>190499</xdr:rowOff>
    </xdr:from>
    <xdr:to>
      <xdr:col>32</xdr:col>
      <xdr:colOff>381006</xdr:colOff>
      <xdr:row>95</xdr:row>
      <xdr:rowOff>166687</xdr:rowOff>
    </xdr:to>
    <xdr:cxnSp macro="">
      <xdr:nvCxnSpPr>
        <xdr:cNvPr id="361" name="Conector recto 360">
          <a:extLst>
            <a:ext uri="{FF2B5EF4-FFF2-40B4-BE49-F238E27FC236}">
              <a16:creationId xmlns:a16="http://schemas.microsoft.com/office/drawing/2014/main" id="{00000000-0008-0000-0100-000069010000}"/>
            </a:ext>
          </a:extLst>
        </xdr:cNvPr>
        <xdr:cNvCxnSpPr/>
      </xdr:nvCxnSpPr>
      <xdr:spPr>
        <a:xfrm flipH="1">
          <a:off x="27027190" y="17871280"/>
          <a:ext cx="4" cy="547688"/>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238125</xdr:colOff>
      <xdr:row>92</xdr:row>
      <xdr:rowOff>190499</xdr:rowOff>
    </xdr:from>
    <xdr:to>
      <xdr:col>32</xdr:col>
      <xdr:colOff>404812</xdr:colOff>
      <xdr:row>93</xdr:row>
      <xdr:rowOff>0</xdr:rowOff>
    </xdr:to>
    <xdr:cxnSp macro="">
      <xdr:nvCxnSpPr>
        <xdr:cNvPr id="362" name="Conector recto 361">
          <a:extLst>
            <a:ext uri="{FF2B5EF4-FFF2-40B4-BE49-F238E27FC236}">
              <a16:creationId xmlns:a16="http://schemas.microsoft.com/office/drawing/2014/main" id="{00000000-0008-0000-0100-00006A010000}"/>
            </a:ext>
          </a:extLst>
        </xdr:cNvPr>
        <xdr:cNvCxnSpPr/>
      </xdr:nvCxnSpPr>
      <xdr:spPr>
        <a:xfrm flipH="1" flipV="1">
          <a:off x="24741188" y="17871280"/>
          <a:ext cx="2309812" cy="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642936</xdr:colOff>
      <xdr:row>93</xdr:row>
      <xdr:rowOff>178593</xdr:rowOff>
    </xdr:from>
    <xdr:to>
      <xdr:col>31</xdr:col>
      <xdr:colOff>642939</xdr:colOff>
      <xdr:row>96</xdr:row>
      <xdr:rowOff>154781</xdr:rowOff>
    </xdr:to>
    <xdr:cxnSp macro="">
      <xdr:nvCxnSpPr>
        <xdr:cNvPr id="363" name="Conector recto 362">
          <a:extLst>
            <a:ext uri="{FF2B5EF4-FFF2-40B4-BE49-F238E27FC236}">
              <a16:creationId xmlns:a16="http://schemas.microsoft.com/office/drawing/2014/main" id="{00000000-0008-0000-0100-00006B010000}"/>
            </a:ext>
          </a:extLst>
        </xdr:cNvPr>
        <xdr:cNvCxnSpPr/>
      </xdr:nvCxnSpPr>
      <xdr:spPr>
        <a:xfrm flipH="1">
          <a:off x="26574749" y="18049874"/>
          <a:ext cx="3" cy="547688"/>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45243</xdr:colOff>
      <xdr:row>95</xdr:row>
      <xdr:rowOff>166688</xdr:rowOff>
    </xdr:from>
    <xdr:to>
      <xdr:col>32</xdr:col>
      <xdr:colOff>380999</xdr:colOff>
      <xdr:row>97</xdr:row>
      <xdr:rowOff>116681</xdr:rowOff>
    </xdr:to>
    <xdr:cxnSp macro="">
      <xdr:nvCxnSpPr>
        <xdr:cNvPr id="364" name="Conector recto 363">
          <a:extLst>
            <a:ext uri="{FF2B5EF4-FFF2-40B4-BE49-F238E27FC236}">
              <a16:creationId xmlns:a16="http://schemas.microsoft.com/office/drawing/2014/main" id="{00000000-0008-0000-0100-00006C010000}"/>
            </a:ext>
          </a:extLst>
        </xdr:cNvPr>
        <xdr:cNvCxnSpPr/>
      </xdr:nvCxnSpPr>
      <xdr:spPr>
        <a:xfrm flipV="1">
          <a:off x="25977056" y="18418969"/>
          <a:ext cx="1050131" cy="3309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135729</xdr:colOff>
      <xdr:row>93</xdr:row>
      <xdr:rowOff>4762</xdr:rowOff>
    </xdr:from>
    <xdr:to>
      <xdr:col>30</xdr:col>
      <xdr:colOff>88104</xdr:colOff>
      <xdr:row>94</xdr:row>
      <xdr:rowOff>183355</xdr:rowOff>
    </xdr:to>
    <xdr:cxnSp macro="">
      <xdr:nvCxnSpPr>
        <xdr:cNvPr id="365" name="Conector recto 364">
          <a:extLst>
            <a:ext uri="{FF2B5EF4-FFF2-40B4-BE49-F238E27FC236}">
              <a16:creationId xmlns:a16="http://schemas.microsoft.com/office/drawing/2014/main" id="{00000000-0008-0000-0100-00006D010000}"/>
            </a:ext>
          </a:extLst>
        </xdr:cNvPr>
        <xdr:cNvCxnSpPr/>
      </xdr:nvCxnSpPr>
      <xdr:spPr>
        <a:xfrm flipV="1">
          <a:off x="23924417" y="12934950"/>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2376</xdr:colOff>
      <xdr:row>93</xdr:row>
      <xdr:rowOff>2381</xdr:rowOff>
    </xdr:from>
    <xdr:to>
      <xdr:col>30</xdr:col>
      <xdr:colOff>669126</xdr:colOff>
      <xdr:row>94</xdr:row>
      <xdr:rowOff>180974</xdr:rowOff>
    </xdr:to>
    <xdr:cxnSp macro="">
      <xdr:nvCxnSpPr>
        <xdr:cNvPr id="366" name="Conector recto 365">
          <a:extLst>
            <a:ext uri="{FF2B5EF4-FFF2-40B4-BE49-F238E27FC236}">
              <a16:creationId xmlns:a16="http://schemas.microsoft.com/office/drawing/2014/main" id="{00000000-0008-0000-0100-00006E010000}"/>
            </a:ext>
          </a:extLst>
        </xdr:cNvPr>
        <xdr:cNvCxnSpPr/>
      </xdr:nvCxnSpPr>
      <xdr:spPr>
        <a:xfrm flipV="1">
          <a:off x="24505439" y="17873662"/>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583400</xdr:colOff>
      <xdr:row>93</xdr:row>
      <xdr:rowOff>11906</xdr:rowOff>
    </xdr:from>
    <xdr:to>
      <xdr:col>31</xdr:col>
      <xdr:colOff>535775</xdr:colOff>
      <xdr:row>94</xdr:row>
      <xdr:rowOff>190499</xdr:rowOff>
    </xdr:to>
    <xdr:cxnSp macro="">
      <xdr:nvCxnSpPr>
        <xdr:cNvPr id="367" name="Conector recto 366">
          <a:extLst>
            <a:ext uri="{FF2B5EF4-FFF2-40B4-BE49-F238E27FC236}">
              <a16:creationId xmlns:a16="http://schemas.microsoft.com/office/drawing/2014/main" id="{00000000-0008-0000-0100-00006F010000}"/>
            </a:ext>
          </a:extLst>
        </xdr:cNvPr>
        <xdr:cNvCxnSpPr/>
      </xdr:nvCxnSpPr>
      <xdr:spPr>
        <a:xfrm flipV="1">
          <a:off x="25086463" y="17883187"/>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330990</xdr:colOff>
      <xdr:row>93</xdr:row>
      <xdr:rowOff>9525</xdr:rowOff>
    </xdr:from>
    <xdr:to>
      <xdr:col>32</xdr:col>
      <xdr:colOff>283365</xdr:colOff>
      <xdr:row>94</xdr:row>
      <xdr:rowOff>188118</xdr:rowOff>
    </xdr:to>
    <xdr:cxnSp macro="">
      <xdr:nvCxnSpPr>
        <xdr:cNvPr id="368" name="Conector recto 367">
          <a:extLst>
            <a:ext uri="{FF2B5EF4-FFF2-40B4-BE49-F238E27FC236}">
              <a16:creationId xmlns:a16="http://schemas.microsoft.com/office/drawing/2014/main" id="{00000000-0008-0000-0100-000070010000}"/>
            </a:ext>
          </a:extLst>
        </xdr:cNvPr>
        <xdr:cNvCxnSpPr/>
      </xdr:nvCxnSpPr>
      <xdr:spPr>
        <a:xfrm flipV="1">
          <a:off x="25548428" y="17880806"/>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307181</xdr:colOff>
      <xdr:row>93</xdr:row>
      <xdr:rowOff>164305</xdr:rowOff>
    </xdr:from>
    <xdr:to>
      <xdr:col>31</xdr:col>
      <xdr:colOff>642937</xdr:colOff>
      <xdr:row>94</xdr:row>
      <xdr:rowOff>11906</xdr:rowOff>
    </xdr:to>
    <xdr:cxnSp macro="">
      <xdr:nvCxnSpPr>
        <xdr:cNvPr id="369" name="Conector recto 368">
          <a:extLst>
            <a:ext uri="{FF2B5EF4-FFF2-40B4-BE49-F238E27FC236}">
              <a16:creationId xmlns:a16="http://schemas.microsoft.com/office/drawing/2014/main" id="{00000000-0008-0000-0100-000071010000}"/>
            </a:ext>
          </a:extLst>
        </xdr:cNvPr>
        <xdr:cNvCxnSpPr/>
      </xdr:nvCxnSpPr>
      <xdr:spPr>
        <a:xfrm flipH="1" flipV="1">
          <a:off x="24095869" y="18035586"/>
          <a:ext cx="2478881" cy="3810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30953</xdr:colOff>
      <xdr:row>93</xdr:row>
      <xdr:rowOff>71438</xdr:rowOff>
    </xdr:from>
    <xdr:to>
      <xdr:col>32</xdr:col>
      <xdr:colOff>369093</xdr:colOff>
      <xdr:row>95</xdr:row>
      <xdr:rowOff>7144</xdr:rowOff>
    </xdr:to>
    <xdr:cxnSp macro="">
      <xdr:nvCxnSpPr>
        <xdr:cNvPr id="375" name="Conector recto 374">
          <a:extLst>
            <a:ext uri="{FF2B5EF4-FFF2-40B4-BE49-F238E27FC236}">
              <a16:creationId xmlns:a16="http://schemas.microsoft.com/office/drawing/2014/main" id="{00000000-0008-0000-0100-000077010000}"/>
            </a:ext>
          </a:extLst>
        </xdr:cNvPr>
        <xdr:cNvCxnSpPr/>
      </xdr:nvCxnSpPr>
      <xdr:spPr>
        <a:xfrm flipV="1">
          <a:off x="25962766" y="17942719"/>
          <a:ext cx="1052515" cy="316706"/>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714373</xdr:colOff>
      <xdr:row>116</xdr:row>
      <xdr:rowOff>190499</xdr:rowOff>
    </xdr:from>
    <xdr:to>
      <xdr:col>29</xdr:col>
      <xdr:colOff>202405</xdr:colOff>
      <xdr:row>123</xdr:row>
      <xdr:rowOff>35717</xdr:rowOff>
    </xdr:to>
    <xdr:sp macro="" textlink="">
      <xdr:nvSpPr>
        <xdr:cNvPr id="377" name="Rectángulo 376">
          <a:extLst>
            <a:ext uri="{FF2B5EF4-FFF2-40B4-BE49-F238E27FC236}">
              <a16:creationId xmlns:a16="http://schemas.microsoft.com/office/drawing/2014/main" id="{00000000-0008-0000-0100-000079010000}"/>
            </a:ext>
          </a:extLst>
        </xdr:cNvPr>
        <xdr:cNvSpPr/>
      </xdr:nvSpPr>
      <xdr:spPr>
        <a:xfrm>
          <a:off x="18788061" y="22443280"/>
          <a:ext cx="5917407" cy="117871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0</xdr:colOff>
      <xdr:row>120</xdr:row>
      <xdr:rowOff>23813</xdr:rowOff>
    </xdr:from>
    <xdr:to>
      <xdr:col>21</xdr:col>
      <xdr:colOff>523875</xdr:colOff>
      <xdr:row>123</xdr:row>
      <xdr:rowOff>35719</xdr:rowOff>
    </xdr:to>
    <xdr:sp macro="" textlink="">
      <xdr:nvSpPr>
        <xdr:cNvPr id="378" name="Rectángulo 377">
          <a:extLst>
            <a:ext uri="{FF2B5EF4-FFF2-40B4-BE49-F238E27FC236}">
              <a16:creationId xmlns:a16="http://schemas.microsoft.com/office/drawing/2014/main" id="{00000000-0008-0000-0100-00007A010000}"/>
            </a:ext>
          </a:extLst>
        </xdr:cNvPr>
        <xdr:cNvSpPr/>
      </xdr:nvSpPr>
      <xdr:spPr>
        <a:xfrm>
          <a:off x="18788063" y="23038594"/>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3575</xdr:colOff>
      <xdr:row>117</xdr:row>
      <xdr:rowOff>3576</xdr:rowOff>
    </xdr:from>
    <xdr:to>
      <xdr:col>21</xdr:col>
      <xdr:colOff>586981</xdr:colOff>
      <xdr:row>119</xdr:row>
      <xdr:rowOff>146451</xdr:rowOff>
    </xdr:to>
    <xdr:sp macro="" textlink="">
      <xdr:nvSpPr>
        <xdr:cNvPr id="379" name="Rectángulo 378">
          <a:extLst>
            <a:ext uri="{FF2B5EF4-FFF2-40B4-BE49-F238E27FC236}">
              <a16:creationId xmlns:a16="http://schemas.microsoft.com/office/drawing/2014/main" id="{00000000-0008-0000-0100-00007B010000}"/>
            </a:ext>
          </a:extLst>
        </xdr:cNvPr>
        <xdr:cNvSpPr/>
      </xdr:nvSpPr>
      <xdr:spPr>
        <a:xfrm rot="5400000">
          <a:off x="18821403" y="22417092"/>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521494</xdr:colOff>
      <xdr:row>120</xdr:row>
      <xdr:rowOff>21432</xdr:rowOff>
    </xdr:from>
    <xdr:to>
      <xdr:col>22</xdr:col>
      <xdr:colOff>330994</xdr:colOff>
      <xdr:row>123</xdr:row>
      <xdr:rowOff>33338</xdr:rowOff>
    </xdr:to>
    <xdr:sp macro="" textlink="">
      <xdr:nvSpPr>
        <xdr:cNvPr id="380" name="Rectángulo 379">
          <a:extLst>
            <a:ext uri="{FF2B5EF4-FFF2-40B4-BE49-F238E27FC236}">
              <a16:creationId xmlns:a16="http://schemas.microsoft.com/office/drawing/2014/main" id="{00000000-0008-0000-0100-00007C010000}"/>
            </a:ext>
          </a:extLst>
        </xdr:cNvPr>
        <xdr:cNvSpPr/>
      </xdr:nvSpPr>
      <xdr:spPr>
        <a:xfrm>
          <a:off x="19309557" y="23036213"/>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328613</xdr:colOff>
      <xdr:row>120</xdr:row>
      <xdr:rowOff>19050</xdr:rowOff>
    </xdr:from>
    <xdr:to>
      <xdr:col>23</xdr:col>
      <xdr:colOff>138113</xdr:colOff>
      <xdr:row>123</xdr:row>
      <xdr:rowOff>30956</xdr:rowOff>
    </xdr:to>
    <xdr:sp macro="" textlink="">
      <xdr:nvSpPr>
        <xdr:cNvPr id="381" name="Rectángulo 380">
          <a:extLst>
            <a:ext uri="{FF2B5EF4-FFF2-40B4-BE49-F238E27FC236}">
              <a16:creationId xmlns:a16="http://schemas.microsoft.com/office/drawing/2014/main" id="{00000000-0008-0000-0100-00007D010000}"/>
            </a:ext>
          </a:extLst>
        </xdr:cNvPr>
        <xdr:cNvSpPr/>
      </xdr:nvSpPr>
      <xdr:spPr>
        <a:xfrm>
          <a:off x="19831051" y="23033831"/>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147638</xdr:colOff>
      <xdr:row>120</xdr:row>
      <xdr:rowOff>28576</xdr:rowOff>
    </xdr:from>
    <xdr:to>
      <xdr:col>23</xdr:col>
      <xdr:colOff>671513</xdr:colOff>
      <xdr:row>123</xdr:row>
      <xdr:rowOff>40482</xdr:rowOff>
    </xdr:to>
    <xdr:sp macro="" textlink="">
      <xdr:nvSpPr>
        <xdr:cNvPr id="382" name="Rectángulo 381">
          <a:extLst>
            <a:ext uri="{FF2B5EF4-FFF2-40B4-BE49-F238E27FC236}">
              <a16:creationId xmlns:a16="http://schemas.microsoft.com/office/drawing/2014/main" id="{00000000-0008-0000-0100-00007E010000}"/>
            </a:ext>
          </a:extLst>
        </xdr:cNvPr>
        <xdr:cNvSpPr/>
      </xdr:nvSpPr>
      <xdr:spPr>
        <a:xfrm>
          <a:off x="20364451" y="23043357"/>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666750</xdr:colOff>
      <xdr:row>120</xdr:row>
      <xdr:rowOff>23812</xdr:rowOff>
    </xdr:from>
    <xdr:to>
      <xdr:col>24</xdr:col>
      <xdr:colOff>476250</xdr:colOff>
      <xdr:row>123</xdr:row>
      <xdr:rowOff>35718</xdr:rowOff>
    </xdr:to>
    <xdr:sp macro="" textlink="">
      <xdr:nvSpPr>
        <xdr:cNvPr id="383" name="Rectángulo 382">
          <a:extLst>
            <a:ext uri="{FF2B5EF4-FFF2-40B4-BE49-F238E27FC236}">
              <a16:creationId xmlns:a16="http://schemas.microsoft.com/office/drawing/2014/main" id="{00000000-0008-0000-0100-00007F010000}"/>
            </a:ext>
          </a:extLst>
        </xdr:cNvPr>
        <xdr:cNvSpPr/>
      </xdr:nvSpPr>
      <xdr:spPr>
        <a:xfrm>
          <a:off x="20883563" y="23038593"/>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584600</xdr:colOff>
      <xdr:row>117</xdr:row>
      <xdr:rowOff>1196</xdr:rowOff>
    </xdr:from>
    <xdr:to>
      <xdr:col>22</xdr:col>
      <xdr:colOff>453631</xdr:colOff>
      <xdr:row>119</xdr:row>
      <xdr:rowOff>144071</xdr:rowOff>
    </xdr:to>
    <xdr:sp macro="" textlink="">
      <xdr:nvSpPr>
        <xdr:cNvPr id="384" name="Rectángulo 383">
          <a:extLst>
            <a:ext uri="{FF2B5EF4-FFF2-40B4-BE49-F238E27FC236}">
              <a16:creationId xmlns:a16="http://schemas.microsoft.com/office/drawing/2014/main" id="{00000000-0008-0000-0100-000080010000}"/>
            </a:ext>
          </a:extLst>
        </xdr:cNvPr>
        <xdr:cNvSpPr/>
      </xdr:nvSpPr>
      <xdr:spPr>
        <a:xfrm rot="5400000">
          <a:off x="19402428" y="22414712"/>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28</xdr:col>
      <xdr:colOff>296470</xdr:colOff>
      <xdr:row>120</xdr:row>
      <xdr:rowOff>82161</xdr:rowOff>
    </xdr:from>
    <xdr:to>
      <xdr:col>29</xdr:col>
      <xdr:colOff>165501</xdr:colOff>
      <xdr:row>123</xdr:row>
      <xdr:rowOff>34536</xdr:rowOff>
    </xdr:to>
    <xdr:sp macro="" textlink="">
      <xdr:nvSpPr>
        <xdr:cNvPr id="385" name="Rectángulo 384">
          <a:extLst>
            <a:ext uri="{FF2B5EF4-FFF2-40B4-BE49-F238E27FC236}">
              <a16:creationId xmlns:a16="http://schemas.microsoft.com/office/drawing/2014/main" id="{00000000-0008-0000-0100-000081010000}"/>
            </a:ext>
          </a:extLst>
        </xdr:cNvPr>
        <xdr:cNvSpPr/>
      </xdr:nvSpPr>
      <xdr:spPr>
        <a:xfrm rot="5400000">
          <a:off x="24114923" y="23067177"/>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27</xdr:col>
      <xdr:colOff>425056</xdr:colOff>
      <xdr:row>120</xdr:row>
      <xdr:rowOff>79779</xdr:rowOff>
    </xdr:from>
    <xdr:to>
      <xdr:col>28</xdr:col>
      <xdr:colOff>294087</xdr:colOff>
      <xdr:row>123</xdr:row>
      <xdr:rowOff>32154</xdr:rowOff>
    </xdr:to>
    <xdr:sp macro="" textlink="">
      <xdr:nvSpPr>
        <xdr:cNvPr id="386" name="Rectángulo 385">
          <a:extLst>
            <a:ext uri="{FF2B5EF4-FFF2-40B4-BE49-F238E27FC236}">
              <a16:creationId xmlns:a16="http://schemas.microsoft.com/office/drawing/2014/main" id="{00000000-0008-0000-0100-000082010000}"/>
            </a:ext>
          </a:extLst>
        </xdr:cNvPr>
        <xdr:cNvSpPr/>
      </xdr:nvSpPr>
      <xdr:spPr>
        <a:xfrm rot="5400000">
          <a:off x="23529134" y="23064795"/>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24</xdr:col>
      <xdr:colOff>473869</xdr:colOff>
      <xdr:row>120</xdr:row>
      <xdr:rowOff>21431</xdr:rowOff>
    </xdr:from>
    <xdr:to>
      <xdr:col>25</xdr:col>
      <xdr:colOff>283369</xdr:colOff>
      <xdr:row>123</xdr:row>
      <xdr:rowOff>33337</xdr:rowOff>
    </xdr:to>
    <xdr:sp macro="" textlink="">
      <xdr:nvSpPr>
        <xdr:cNvPr id="387" name="Rectángulo 386">
          <a:extLst>
            <a:ext uri="{FF2B5EF4-FFF2-40B4-BE49-F238E27FC236}">
              <a16:creationId xmlns:a16="http://schemas.microsoft.com/office/drawing/2014/main" id="{00000000-0008-0000-0100-000083010000}"/>
            </a:ext>
          </a:extLst>
        </xdr:cNvPr>
        <xdr:cNvSpPr/>
      </xdr:nvSpPr>
      <xdr:spPr>
        <a:xfrm>
          <a:off x="21405057" y="23036212"/>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25</xdr:col>
      <xdr:colOff>280988</xdr:colOff>
      <xdr:row>120</xdr:row>
      <xdr:rowOff>19048</xdr:rowOff>
    </xdr:from>
    <xdr:to>
      <xdr:col>26</xdr:col>
      <xdr:colOff>90488</xdr:colOff>
      <xdr:row>123</xdr:row>
      <xdr:rowOff>30954</xdr:rowOff>
    </xdr:to>
    <xdr:sp macro="" textlink="">
      <xdr:nvSpPr>
        <xdr:cNvPr id="388" name="Rectángulo 387">
          <a:extLst>
            <a:ext uri="{FF2B5EF4-FFF2-40B4-BE49-F238E27FC236}">
              <a16:creationId xmlns:a16="http://schemas.microsoft.com/office/drawing/2014/main" id="{00000000-0008-0000-0100-000084010000}"/>
            </a:ext>
          </a:extLst>
        </xdr:cNvPr>
        <xdr:cNvSpPr/>
      </xdr:nvSpPr>
      <xdr:spPr>
        <a:xfrm>
          <a:off x="21926551" y="23033829"/>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26</xdr:col>
      <xdr:colOff>100012</xdr:colOff>
      <xdr:row>120</xdr:row>
      <xdr:rowOff>28574</xdr:rowOff>
    </xdr:from>
    <xdr:to>
      <xdr:col>26</xdr:col>
      <xdr:colOff>623887</xdr:colOff>
      <xdr:row>123</xdr:row>
      <xdr:rowOff>40480</xdr:rowOff>
    </xdr:to>
    <xdr:sp macro="" textlink="">
      <xdr:nvSpPr>
        <xdr:cNvPr id="389" name="Rectángulo 388">
          <a:extLst>
            <a:ext uri="{FF2B5EF4-FFF2-40B4-BE49-F238E27FC236}">
              <a16:creationId xmlns:a16="http://schemas.microsoft.com/office/drawing/2014/main" id="{00000000-0008-0000-0100-000085010000}"/>
            </a:ext>
          </a:extLst>
        </xdr:cNvPr>
        <xdr:cNvSpPr/>
      </xdr:nvSpPr>
      <xdr:spPr>
        <a:xfrm>
          <a:off x="22459950" y="23043355"/>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26</xdr:col>
      <xdr:colOff>621506</xdr:colOff>
      <xdr:row>120</xdr:row>
      <xdr:rowOff>26193</xdr:rowOff>
    </xdr:from>
    <xdr:to>
      <xdr:col>27</xdr:col>
      <xdr:colOff>431006</xdr:colOff>
      <xdr:row>123</xdr:row>
      <xdr:rowOff>38099</xdr:rowOff>
    </xdr:to>
    <xdr:sp macro="" textlink="">
      <xdr:nvSpPr>
        <xdr:cNvPr id="390" name="Rectángulo 389">
          <a:extLst>
            <a:ext uri="{FF2B5EF4-FFF2-40B4-BE49-F238E27FC236}">
              <a16:creationId xmlns:a16="http://schemas.microsoft.com/office/drawing/2014/main" id="{00000000-0008-0000-0100-000086010000}"/>
            </a:ext>
          </a:extLst>
        </xdr:cNvPr>
        <xdr:cNvSpPr/>
      </xdr:nvSpPr>
      <xdr:spPr>
        <a:xfrm>
          <a:off x="22981444" y="23040974"/>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452438</xdr:colOff>
      <xdr:row>117</xdr:row>
      <xdr:rowOff>0</xdr:rowOff>
    </xdr:from>
    <xdr:to>
      <xdr:col>23</xdr:col>
      <xdr:colOff>261938</xdr:colOff>
      <xdr:row>120</xdr:row>
      <xdr:rowOff>11906</xdr:rowOff>
    </xdr:to>
    <xdr:sp macro="" textlink="">
      <xdr:nvSpPr>
        <xdr:cNvPr id="391" name="Rectángulo 390">
          <a:extLst>
            <a:ext uri="{FF2B5EF4-FFF2-40B4-BE49-F238E27FC236}">
              <a16:creationId xmlns:a16="http://schemas.microsoft.com/office/drawing/2014/main" id="{00000000-0008-0000-0100-000087010000}"/>
            </a:ext>
          </a:extLst>
        </xdr:cNvPr>
        <xdr:cNvSpPr/>
      </xdr:nvSpPr>
      <xdr:spPr>
        <a:xfrm>
          <a:off x="19954876" y="22443281"/>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261937</xdr:colOff>
      <xdr:row>117</xdr:row>
      <xdr:rowOff>0</xdr:rowOff>
    </xdr:from>
    <xdr:to>
      <xdr:col>24</xdr:col>
      <xdr:colOff>71437</xdr:colOff>
      <xdr:row>120</xdr:row>
      <xdr:rowOff>11906</xdr:rowOff>
    </xdr:to>
    <xdr:sp macro="" textlink="">
      <xdr:nvSpPr>
        <xdr:cNvPr id="392" name="Rectángulo 391">
          <a:extLst>
            <a:ext uri="{FF2B5EF4-FFF2-40B4-BE49-F238E27FC236}">
              <a16:creationId xmlns:a16="http://schemas.microsoft.com/office/drawing/2014/main" id="{00000000-0008-0000-0100-000088010000}"/>
            </a:ext>
          </a:extLst>
        </xdr:cNvPr>
        <xdr:cNvSpPr/>
      </xdr:nvSpPr>
      <xdr:spPr>
        <a:xfrm>
          <a:off x="20478750" y="22443281"/>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24</xdr:col>
      <xdr:colOff>69056</xdr:colOff>
      <xdr:row>116</xdr:row>
      <xdr:rowOff>188119</xdr:rowOff>
    </xdr:from>
    <xdr:to>
      <xdr:col>24</xdr:col>
      <xdr:colOff>592931</xdr:colOff>
      <xdr:row>120</xdr:row>
      <xdr:rowOff>9525</xdr:rowOff>
    </xdr:to>
    <xdr:sp macro="" textlink="">
      <xdr:nvSpPr>
        <xdr:cNvPr id="393" name="Rectángulo 392">
          <a:extLst>
            <a:ext uri="{FF2B5EF4-FFF2-40B4-BE49-F238E27FC236}">
              <a16:creationId xmlns:a16="http://schemas.microsoft.com/office/drawing/2014/main" id="{00000000-0008-0000-0100-000089010000}"/>
            </a:ext>
          </a:extLst>
        </xdr:cNvPr>
        <xdr:cNvSpPr/>
      </xdr:nvSpPr>
      <xdr:spPr>
        <a:xfrm>
          <a:off x="21000244" y="22440900"/>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24</xdr:col>
      <xdr:colOff>590550</xdr:colOff>
      <xdr:row>116</xdr:row>
      <xdr:rowOff>185738</xdr:rowOff>
    </xdr:from>
    <xdr:to>
      <xdr:col>25</xdr:col>
      <xdr:colOff>400050</xdr:colOff>
      <xdr:row>120</xdr:row>
      <xdr:rowOff>7144</xdr:rowOff>
    </xdr:to>
    <xdr:sp macro="" textlink="">
      <xdr:nvSpPr>
        <xdr:cNvPr id="394" name="Rectángulo 393">
          <a:extLst>
            <a:ext uri="{FF2B5EF4-FFF2-40B4-BE49-F238E27FC236}">
              <a16:creationId xmlns:a16="http://schemas.microsoft.com/office/drawing/2014/main" id="{00000000-0008-0000-0100-00008A010000}"/>
            </a:ext>
          </a:extLst>
        </xdr:cNvPr>
        <xdr:cNvSpPr/>
      </xdr:nvSpPr>
      <xdr:spPr>
        <a:xfrm>
          <a:off x="21521738" y="22438519"/>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25</xdr:col>
      <xdr:colOff>409575</xdr:colOff>
      <xdr:row>117</xdr:row>
      <xdr:rowOff>4763</xdr:rowOff>
    </xdr:from>
    <xdr:to>
      <xdr:col>26</xdr:col>
      <xdr:colOff>219075</xdr:colOff>
      <xdr:row>120</xdr:row>
      <xdr:rowOff>16669</xdr:rowOff>
    </xdr:to>
    <xdr:sp macro="" textlink="">
      <xdr:nvSpPr>
        <xdr:cNvPr id="395" name="Rectángulo 394">
          <a:extLst>
            <a:ext uri="{FF2B5EF4-FFF2-40B4-BE49-F238E27FC236}">
              <a16:creationId xmlns:a16="http://schemas.microsoft.com/office/drawing/2014/main" id="{00000000-0008-0000-0100-00008B010000}"/>
            </a:ext>
          </a:extLst>
        </xdr:cNvPr>
        <xdr:cNvSpPr/>
      </xdr:nvSpPr>
      <xdr:spPr>
        <a:xfrm>
          <a:off x="22055138" y="22448044"/>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26</xdr:col>
      <xdr:colOff>216693</xdr:colOff>
      <xdr:row>117</xdr:row>
      <xdr:rowOff>2382</xdr:rowOff>
    </xdr:from>
    <xdr:to>
      <xdr:col>27</xdr:col>
      <xdr:colOff>26193</xdr:colOff>
      <xdr:row>120</xdr:row>
      <xdr:rowOff>14288</xdr:rowOff>
    </xdr:to>
    <xdr:sp macro="" textlink="">
      <xdr:nvSpPr>
        <xdr:cNvPr id="396" name="Rectángulo 395">
          <a:extLst>
            <a:ext uri="{FF2B5EF4-FFF2-40B4-BE49-F238E27FC236}">
              <a16:creationId xmlns:a16="http://schemas.microsoft.com/office/drawing/2014/main" id="{00000000-0008-0000-0100-00008C010000}"/>
            </a:ext>
          </a:extLst>
        </xdr:cNvPr>
        <xdr:cNvSpPr/>
      </xdr:nvSpPr>
      <xdr:spPr>
        <a:xfrm>
          <a:off x="22576631" y="22445663"/>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27</xdr:col>
      <xdr:colOff>23813</xdr:colOff>
      <xdr:row>117</xdr:row>
      <xdr:rowOff>0</xdr:rowOff>
    </xdr:from>
    <xdr:to>
      <xdr:col>27</xdr:col>
      <xdr:colOff>547688</xdr:colOff>
      <xdr:row>120</xdr:row>
      <xdr:rowOff>11906</xdr:rowOff>
    </xdr:to>
    <xdr:sp macro="" textlink="">
      <xdr:nvSpPr>
        <xdr:cNvPr id="397" name="Rectángulo 396">
          <a:extLst>
            <a:ext uri="{FF2B5EF4-FFF2-40B4-BE49-F238E27FC236}">
              <a16:creationId xmlns:a16="http://schemas.microsoft.com/office/drawing/2014/main" id="{00000000-0008-0000-0100-00008D010000}"/>
            </a:ext>
          </a:extLst>
        </xdr:cNvPr>
        <xdr:cNvSpPr/>
      </xdr:nvSpPr>
      <xdr:spPr>
        <a:xfrm>
          <a:off x="23098126" y="22443281"/>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27</xdr:col>
      <xdr:colOff>545306</xdr:colOff>
      <xdr:row>116</xdr:row>
      <xdr:rowOff>188119</xdr:rowOff>
    </xdr:from>
    <xdr:to>
      <xdr:col>28</xdr:col>
      <xdr:colOff>354806</xdr:colOff>
      <xdr:row>120</xdr:row>
      <xdr:rowOff>9525</xdr:rowOff>
    </xdr:to>
    <xdr:sp macro="" textlink="">
      <xdr:nvSpPr>
        <xdr:cNvPr id="398" name="Rectángulo 397">
          <a:extLst>
            <a:ext uri="{FF2B5EF4-FFF2-40B4-BE49-F238E27FC236}">
              <a16:creationId xmlns:a16="http://schemas.microsoft.com/office/drawing/2014/main" id="{00000000-0008-0000-0100-00008E010000}"/>
            </a:ext>
          </a:extLst>
        </xdr:cNvPr>
        <xdr:cNvSpPr/>
      </xdr:nvSpPr>
      <xdr:spPr>
        <a:xfrm>
          <a:off x="23619619" y="22440900"/>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28</xdr:col>
      <xdr:colOff>352425</xdr:colOff>
      <xdr:row>116</xdr:row>
      <xdr:rowOff>185738</xdr:rowOff>
    </xdr:from>
    <xdr:to>
      <xdr:col>29</xdr:col>
      <xdr:colOff>161925</xdr:colOff>
      <xdr:row>120</xdr:row>
      <xdr:rowOff>7144</xdr:rowOff>
    </xdr:to>
    <xdr:sp macro="" textlink="">
      <xdr:nvSpPr>
        <xdr:cNvPr id="399" name="Rectángulo 398">
          <a:extLst>
            <a:ext uri="{FF2B5EF4-FFF2-40B4-BE49-F238E27FC236}">
              <a16:creationId xmlns:a16="http://schemas.microsoft.com/office/drawing/2014/main" id="{00000000-0008-0000-0100-00008F010000}"/>
            </a:ext>
          </a:extLst>
        </xdr:cNvPr>
        <xdr:cNvSpPr/>
      </xdr:nvSpPr>
      <xdr:spPr>
        <a:xfrm>
          <a:off x="24141113" y="22438519"/>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32</xdr:col>
      <xdr:colOff>11905</xdr:colOff>
      <xdr:row>116</xdr:row>
      <xdr:rowOff>166688</xdr:rowOff>
    </xdr:from>
    <xdr:to>
      <xdr:col>40</xdr:col>
      <xdr:colOff>392906</xdr:colOff>
      <xdr:row>120</xdr:row>
      <xdr:rowOff>95251</xdr:rowOff>
    </xdr:to>
    <xdr:sp macro="" textlink="">
      <xdr:nvSpPr>
        <xdr:cNvPr id="401" name="Rectángulo 400">
          <a:extLst>
            <a:ext uri="{FF2B5EF4-FFF2-40B4-BE49-F238E27FC236}">
              <a16:creationId xmlns:a16="http://schemas.microsoft.com/office/drawing/2014/main" id="{00000000-0008-0000-0100-000091010000}"/>
            </a:ext>
          </a:extLst>
        </xdr:cNvPr>
        <xdr:cNvSpPr/>
      </xdr:nvSpPr>
      <xdr:spPr>
        <a:xfrm>
          <a:off x="26658093" y="22419469"/>
          <a:ext cx="6096001" cy="690563"/>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32</xdr:col>
      <xdr:colOff>9525</xdr:colOff>
      <xdr:row>116</xdr:row>
      <xdr:rowOff>166688</xdr:rowOff>
    </xdr:from>
    <xdr:to>
      <xdr:col>32</xdr:col>
      <xdr:colOff>533400</xdr:colOff>
      <xdr:row>120</xdr:row>
      <xdr:rowOff>92868</xdr:rowOff>
    </xdr:to>
    <xdr:sp macro="" textlink="">
      <xdr:nvSpPr>
        <xdr:cNvPr id="402" name="Rectángulo 401">
          <a:extLst>
            <a:ext uri="{FF2B5EF4-FFF2-40B4-BE49-F238E27FC236}">
              <a16:creationId xmlns:a16="http://schemas.microsoft.com/office/drawing/2014/main" id="{00000000-0008-0000-0100-000092010000}"/>
            </a:ext>
          </a:extLst>
        </xdr:cNvPr>
        <xdr:cNvSpPr/>
      </xdr:nvSpPr>
      <xdr:spPr>
        <a:xfrm>
          <a:off x="26655713" y="22419469"/>
          <a:ext cx="523875" cy="68818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32</xdr:col>
      <xdr:colOff>531019</xdr:colOff>
      <xdr:row>116</xdr:row>
      <xdr:rowOff>164306</xdr:rowOff>
    </xdr:from>
    <xdr:to>
      <xdr:col>33</xdr:col>
      <xdr:colOff>340519</xdr:colOff>
      <xdr:row>120</xdr:row>
      <xdr:rowOff>90486</xdr:rowOff>
    </xdr:to>
    <xdr:sp macro="" textlink="">
      <xdr:nvSpPr>
        <xdr:cNvPr id="403" name="Rectángulo 402">
          <a:extLst>
            <a:ext uri="{FF2B5EF4-FFF2-40B4-BE49-F238E27FC236}">
              <a16:creationId xmlns:a16="http://schemas.microsoft.com/office/drawing/2014/main" id="{00000000-0008-0000-0100-000093010000}"/>
            </a:ext>
          </a:extLst>
        </xdr:cNvPr>
        <xdr:cNvSpPr/>
      </xdr:nvSpPr>
      <xdr:spPr>
        <a:xfrm>
          <a:off x="27177207" y="22417087"/>
          <a:ext cx="523875" cy="68818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33</xdr:col>
      <xdr:colOff>347662</xdr:colOff>
      <xdr:row>116</xdr:row>
      <xdr:rowOff>171450</xdr:rowOff>
    </xdr:from>
    <xdr:to>
      <xdr:col>34</xdr:col>
      <xdr:colOff>157162</xdr:colOff>
      <xdr:row>120</xdr:row>
      <xdr:rowOff>97630</xdr:rowOff>
    </xdr:to>
    <xdr:sp macro="" textlink="">
      <xdr:nvSpPr>
        <xdr:cNvPr id="405" name="Rectángulo 404">
          <a:extLst>
            <a:ext uri="{FF2B5EF4-FFF2-40B4-BE49-F238E27FC236}">
              <a16:creationId xmlns:a16="http://schemas.microsoft.com/office/drawing/2014/main" id="{00000000-0008-0000-0100-000095010000}"/>
            </a:ext>
          </a:extLst>
        </xdr:cNvPr>
        <xdr:cNvSpPr/>
      </xdr:nvSpPr>
      <xdr:spPr>
        <a:xfrm>
          <a:off x="27708225" y="22424231"/>
          <a:ext cx="523875" cy="68818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34</xdr:col>
      <xdr:colOff>154781</xdr:colOff>
      <xdr:row>116</xdr:row>
      <xdr:rowOff>169069</xdr:rowOff>
    </xdr:from>
    <xdr:to>
      <xdr:col>34</xdr:col>
      <xdr:colOff>678656</xdr:colOff>
      <xdr:row>120</xdr:row>
      <xdr:rowOff>95249</xdr:rowOff>
    </xdr:to>
    <xdr:sp macro="" textlink="">
      <xdr:nvSpPr>
        <xdr:cNvPr id="406" name="Rectángulo 405">
          <a:extLst>
            <a:ext uri="{FF2B5EF4-FFF2-40B4-BE49-F238E27FC236}">
              <a16:creationId xmlns:a16="http://schemas.microsoft.com/office/drawing/2014/main" id="{00000000-0008-0000-0100-000096010000}"/>
            </a:ext>
          </a:extLst>
        </xdr:cNvPr>
        <xdr:cNvSpPr/>
      </xdr:nvSpPr>
      <xdr:spPr>
        <a:xfrm>
          <a:off x="28229719" y="22421850"/>
          <a:ext cx="523875" cy="68818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34</xdr:col>
      <xdr:colOff>676275</xdr:colOff>
      <xdr:row>116</xdr:row>
      <xdr:rowOff>166688</xdr:rowOff>
    </xdr:from>
    <xdr:to>
      <xdr:col>35</xdr:col>
      <xdr:colOff>485775</xdr:colOff>
      <xdr:row>120</xdr:row>
      <xdr:rowOff>92868</xdr:rowOff>
    </xdr:to>
    <xdr:sp macro="" textlink="">
      <xdr:nvSpPr>
        <xdr:cNvPr id="407" name="Rectángulo 406">
          <a:extLst>
            <a:ext uri="{FF2B5EF4-FFF2-40B4-BE49-F238E27FC236}">
              <a16:creationId xmlns:a16="http://schemas.microsoft.com/office/drawing/2014/main" id="{00000000-0008-0000-0100-000097010000}"/>
            </a:ext>
          </a:extLst>
        </xdr:cNvPr>
        <xdr:cNvSpPr/>
      </xdr:nvSpPr>
      <xdr:spPr>
        <a:xfrm>
          <a:off x="28751213" y="22419469"/>
          <a:ext cx="523875" cy="68818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35</xdr:col>
      <xdr:colOff>483394</xdr:colOff>
      <xdr:row>116</xdr:row>
      <xdr:rowOff>164307</xdr:rowOff>
    </xdr:from>
    <xdr:to>
      <xdr:col>36</xdr:col>
      <xdr:colOff>292894</xdr:colOff>
      <xdr:row>120</xdr:row>
      <xdr:rowOff>90487</xdr:rowOff>
    </xdr:to>
    <xdr:sp macro="" textlink="">
      <xdr:nvSpPr>
        <xdr:cNvPr id="408" name="Rectángulo 407">
          <a:extLst>
            <a:ext uri="{FF2B5EF4-FFF2-40B4-BE49-F238E27FC236}">
              <a16:creationId xmlns:a16="http://schemas.microsoft.com/office/drawing/2014/main" id="{00000000-0008-0000-0100-000098010000}"/>
            </a:ext>
          </a:extLst>
        </xdr:cNvPr>
        <xdr:cNvSpPr/>
      </xdr:nvSpPr>
      <xdr:spPr>
        <a:xfrm>
          <a:off x="29272707" y="22417088"/>
          <a:ext cx="523875" cy="68818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36</xdr:col>
      <xdr:colOff>302419</xdr:colOff>
      <xdr:row>116</xdr:row>
      <xdr:rowOff>166688</xdr:rowOff>
    </xdr:from>
    <xdr:to>
      <xdr:col>37</xdr:col>
      <xdr:colOff>111919</xdr:colOff>
      <xdr:row>120</xdr:row>
      <xdr:rowOff>100012</xdr:rowOff>
    </xdr:to>
    <xdr:sp macro="" textlink="">
      <xdr:nvSpPr>
        <xdr:cNvPr id="409" name="Rectángulo 408">
          <a:extLst>
            <a:ext uri="{FF2B5EF4-FFF2-40B4-BE49-F238E27FC236}">
              <a16:creationId xmlns:a16="http://schemas.microsoft.com/office/drawing/2014/main" id="{00000000-0008-0000-0100-000099010000}"/>
            </a:ext>
          </a:extLst>
        </xdr:cNvPr>
        <xdr:cNvSpPr/>
      </xdr:nvSpPr>
      <xdr:spPr>
        <a:xfrm>
          <a:off x="29806107" y="22419469"/>
          <a:ext cx="523875"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37</xdr:col>
      <xdr:colOff>633413</xdr:colOff>
      <xdr:row>116</xdr:row>
      <xdr:rowOff>164307</xdr:rowOff>
    </xdr:from>
    <xdr:to>
      <xdr:col>38</xdr:col>
      <xdr:colOff>442913</xdr:colOff>
      <xdr:row>120</xdr:row>
      <xdr:rowOff>97631</xdr:rowOff>
    </xdr:to>
    <xdr:sp macro="" textlink="">
      <xdr:nvSpPr>
        <xdr:cNvPr id="410" name="Rectángulo 409">
          <a:extLst>
            <a:ext uri="{FF2B5EF4-FFF2-40B4-BE49-F238E27FC236}">
              <a16:creationId xmlns:a16="http://schemas.microsoft.com/office/drawing/2014/main" id="{00000000-0008-0000-0100-00009A010000}"/>
            </a:ext>
          </a:extLst>
        </xdr:cNvPr>
        <xdr:cNvSpPr/>
      </xdr:nvSpPr>
      <xdr:spPr>
        <a:xfrm>
          <a:off x="30851476" y="22417088"/>
          <a:ext cx="523875"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37</xdr:col>
      <xdr:colOff>107156</xdr:colOff>
      <xdr:row>116</xdr:row>
      <xdr:rowOff>161925</xdr:rowOff>
    </xdr:from>
    <xdr:to>
      <xdr:col>37</xdr:col>
      <xdr:colOff>631031</xdr:colOff>
      <xdr:row>120</xdr:row>
      <xdr:rowOff>95249</xdr:rowOff>
    </xdr:to>
    <xdr:sp macro="" textlink="">
      <xdr:nvSpPr>
        <xdr:cNvPr id="411" name="Rectángulo 410">
          <a:extLst>
            <a:ext uri="{FF2B5EF4-FFF2-40B4-BE49-F238E27FC236}">
              <a16:creationId xmlns:a16="http://schemas.microsoft.com/office/drawing/2014/main" id="{00000000-0008-0000-0100-00009B010000}"/>
            </a:ext>
          </a:extLst>
        </xdr:cNvPr>
        <xdr:cNvSpPr/>
      </xdr:nvSpPr>
      <xdr:spPr>
        <a:xfrm>
          <a:off x="30325219" y="22414706"/>
          <a:ext cx="523875"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39</xdr:col>
      <xdr:colOff>414338</xdr:colOff>
      <xdr:row>116</xdr:row>
      <xdr:rowOff>166692</xdr:rowOff>
    </xdr:from>
    <xdr:to>
      <xdr:col>40</xdr:col>
      <xdr:colOff>395287</xdr:colOff>
      <xdr:row>120</xdr:row>
      <xdr:rowOff>97634</xdr:rowOff>
    </xdr:to>
    <xdr:sp macro="" textlink="">
      <xdr:nvSpPr>
        <xdr:cNvPr id="412" name="Rectángulo 411">
          <a:extLst>
            <a:ext uri="{FF2B5EF4-FFF2-40B4-BE49-F238E27FC236}">
              <a16:creationId xmlns:a16="http://schemas.microsoft.com/office/drawing/2014/main" id="{00000000-0008-0000-0100-00009C010000}"/>
            </a:ext>
          </a:extLst>
        </xdr:cNvPr>
        <xdr:cNvSpPr/>
      </xdr:nvSpPr>
      <xdr:spPr>
        <a:xfrm rot="5400000">
          <a:off x="32062342" y="22418282"/>
          <a:ext cx="692942"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38</xdr:col>
      <xdr:colOff>435770</xdr:colOff>
      <xdr:row>116</xdr:row>
      <xdr:rowOff>166692</xdr:rowOff>
    </xdr:from>
    <xdr:to>
      <xdr:col>39</xdr:col>
      <xdr:colOff>416719</xdr:colOff>
      <xdr:row>120</xdr:row>
      <xdr:rowOff>95252</xdr:rowOff>
    </xdr:to>
    <xdr:sp macro="" textlink="">
      <xdr:nvSpPr>
        <xdr:cNvPr id="413" name="Rectángulo 412">
          <a:extLst>
            <a:ext uri="{FF2B5EF4-FFF2-40B4-BE49-F238E27FC236}">
              <a16:creationId xmlns:a16="http://schemas.microsoft.com/office/drawing/2014/main" id="{00000000-0008-0000-0100-00009D010000}"/>
            </a:ext>
          </a:extLst>
        </xdr:cNvPr>
        <xdr:cNvSpPr/>
      </xdr:nvSpPr>
      <xdr:spPr>
        <a:xfrm rot="5400000">
          <a:off x="31370590" y="22417091"/>
          <a:ext cx="690560"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40</xdr:col>
      <xdr:colOff>381000</xdr:colOff>
      <xdr:row>118</xdr:row>
      <xdr:rowOff>107156</xdr:rowOff>
    </xdr:from>
    <xdr:to>
      <xdr:col>42</xdr:col>
      <xdr:colOff>178593</xdr:colOff>
      <xdr:row>120</xdr:row>
      <xdr:rowOff>92869</xdr:rowOff>
    </xdr:to>
    <xdr:cxnSp macro="">
      <xdr:nvCxnSpPr>
        <xdr:cNvPr id="414" name="Conector recto 413">
          <a:extLst>
            <a:ext uri="{FF2B5EF4-FFF2-40B4-BE49-F238E27FC236}">
              <a16:creationId xmlns:a16="http://schemas.microsoft.com/office/drawing/2014/main" id="{00000000-0008-0000-0100-00009E010000}"/>
            </a:ext>
          </a:extLst>
        </xdr:cNvPr>
        <xdr:cNvCxnSpPr/>
      </xdr:nvCxnSpPr>
      <xdr:spPr>
        <a:xfrm flipV="1">
          <a:off x="32742188" y="22740937"/>
          <a:ext cx="1226343" cy="36671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378618</xdr:colOff>
      <xdr:row>114</xdr:row>
      <xdr:rowOff>166688</xdr:rowOff>
    </xdr:from>
    <xdr:to>
      <xdr:col>42</xdr:col>
      <xdr:colOff>154781</xdr:colOff>
      <xdr:row>116</xdr:row>
      <xdr:rowOff>161925</xdr:rowOff>
    </xdr:to>
    <xdr:cxnSp macro="">
      <xdr:nvCxnSpPr>
        <xdr:cNvPr id="415" name="Conector recto 414">
          <a:extLst>
            <a:ext uri="{FF2B5EF4-FFF2-40B4-BE49-F238E27FC236}">
              <a16:creationId xmlns:a16="http://schemas.microsoft.com/office/drawing/2014/main" id="{00000000-0008-0000-0100-00009F010000}"/>
            </a:ext>
          </a:extLst>
        </xdr:cNvPr>
        <xdr:cNvCxnSpPr/>
      </xdr:nvCxnSpPr>
      <xdr:spPr>
        <a:xfrm flipV="1">
          <a:off x="32739806" y="22038469"/>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500062</xdr:colOff>
      <xdr:row>114</xdr:row>
      <xdr:rowOff>154781</xdr:rowOff>
    </xdr:from>
    <xdr:to>
      <xdr:col>42</xdr:col>
      <xdr:colOff>142874</xdr:colOff>
      <xdr:row>114</xdr:row>
      <xdr:rowOff>154782</xdr:rowOff>
    </xdr:to>
    <xdr:cxnSp macro="">
      <xdr:nvCxnSpPr>
        <xdr:cNvPr id="418" name="Conector recto 417">
          <a:extLst>
            <a:ext uri="{FF2B5EF4-FFF2-40B4-BE49-F238E27FC236}">
              <a16:creationId xmlns:a16="http://schemas.microsoft.com/office/drawing/2014/main" id="{00000000-0008-0000-0100-0000A2010000}"/>
            </a:ext>
          </a:extLst>
        </xdr:cNvPr>
        <xdr:cNvCxnSpPr/>
      </xdr:nvCxnSpPr>
      <xdr:spPr>
        <a:xfrm>
          <a:off x="27860625" y="22026562"/>
          <a:ext cx="6072187" cy="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557212</xdr:colOff>
      <xdr:row>115</xdr:row>
      <xdr:rowOff>176212</xdr:rowOff>
    </xdr:from>
    <xdr:to>
      <xdr:col>41</xdr:col>
      <xdr:colOff>247650</xdr:colOff>
      <xdr:row>115</xdr:row>
      <xdr:rowOff>176212</xdr:rowOff>
    </xdr:to>
    <xdr:cxnSp macro="">
      <xdr:nvCxnSpPr>
        <xdr:cNvPr id="419" name="Conector recto 418">
          <a:extLst>
            <a:ext uri="{FF2B5EF4-FFF2-40B4-BE49-F238E27FC236}">
              <a16:creationId xmlns:a16="http://schemas.microsoft.com/office/drawing/2014/main" id="{00000000-0008-0000-0100-0000A3010000}"/>
            </a:ext>
          </a:extLst>
        </xdr:cNvPr>
        <xdr:cNvCxnSpPr/>
      </xdr:nvCxnSpPr>
      <xdr:spPr>
        <a:xfrm>
          <a:off x="27203400" y="22238493"/>
          <a:ext cx="6119813"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154778</xdr:colOff>
      <xdr:row>115</xdr:row>
      <xdr:rowOff>0</xdr:rowOff>
    </xdr:from>
    <xdr:to>
      <xdr:col>42</xdr:col>
      <xdr:colOff>154778</xdr:colOff>
      <xdr:row>118</xdr:row>
      <xdr:rowOff>154781</xdr:rowOff>
    </xdr:to>
    <xdr:cxnSp macro="">
      <xdr:nvCxnSpPr>
        <xdr:cNvPr id="421" name="Conector recto 420">
          <a:extLst>
            <a:ext uri="{FF2B5EF4-FFF2-40B4-BE49-F238E27FC236}">
              <a16:creationId xmlns:a16="http://schemas.microsoft.com/office/drawing/2014/main" id="{00000000-0008-0000-0100-0000A5010000}"/>
            </a:ext>
          </a:extLst>
        </xdr:cNvPr>
        <xdr:cNvCxnSpPr/>
      </xdr:nvCxnSpPr>
      <xdr:spPr>
        <a:xfrm>
          <a:off x="33944716" y="22062281"/>
          <a:ext cx="0" cy="72628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211931</xdr:colOff>
      <xdr:row>115</xdr:row>
      <xdr:rowOff>176213</xdr:rowOff>
    </xdr:from>
    <xdr:to>
      <xdr:col>41</xdr:col>
      <xdr:colOff>211931</xdr:colOff>
      <xdr:row>119</xdr:row>
      <xdr:rowOff>140494</xdr:rowOff>
    </xdr:to>
    <xdr:cxnSp macro="">
      <xdr:nvCxnSpPr>
        <xdr:cNvPr id="422" name="Conector recto 421">
          <a:extLst>
            <a:ext uri="{FF2B5EF4-FFF2-40B4-BE49-F238E27FC236}">
              <a16:creationId xmlns:a16="http://schemas.microsoft.com/office/drawing/2014/main" id="{00000000-0008-0000-0100-0000A6010000}"/>
            </a:ext>
          </a:extLst>
        </xdr:cNvPr>
        <xdr:cNvCxnSpPr/>
      </xdr:nvCxnSpPr>
      <xdr:spPr>
        <a:xfrm>
          <a:off x="33287494" y="22238494"/>
          <a:ext cx="0" cy="72628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709611</xdr:colOff>
      <xdr:row>114</xdr:row>
      <xdr:rowOff>164307</xdr:rowOff>
    </xdr:from>
    <xdr:to>
      <xdr:col>33</xdr:col>
      <xdr:colOff>485774</xdr:colOff>
      <xdr:row>116</xdr:row>
      <xdr:rowOff>159544</xdr:rowOff>
    </xdr:to>
    <xdr:cxnSp macro="">
      <xdr:nvCxnSpPr>
        <xdr:cNvPr id="428" name="Conector recto 427">
          <a:extLst>
            <a:ext uri="{FF2B5EF4-FFF2-40B4-BE49-F238E27FC236}">
              <a16:creationId xmlns:a16="http://schemas.microsoft.com/office/drawing/2014/main" id="{00000000-0008-0000-0100-0000AC010000}"/>
            </a:ext>
          </a:extLst>
        </xdr:cNvPr>
        <xdr:cNvCxnSpPr/>
      </xdr:nvCxnSpPr>
      <xdr:spPr>
        <a:xfrm flipV="1">
          <a:off x="26641424" y="22036088"/>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523875</xdr:colOff>
      <xdr:row>114</xdr:row>
      <xdr:rowOff>166688</xdr:rowOff>
    </xdr:from>
    <xdr:to>
      <xdr:col>34</xdr:col>
      <xdr:colOff>300038</xdr:colOff>
      <xdr:row>116</xdr:row>
      <xdr:rowOff>161925</xdr:rowOff>
    </xdr:to>
    <xdr:cxnSp macro="">
      <xdr:nvCxnSpPr>
        <xdr:cNvPr id="430" name="Conector recto 429">
          <a:extLst>
            <a:ext uri="{FF2B5EF4-FFF2-40B4-BE49-F238E27FC236}">
              <a16:creationId xmlns:a16="http://schemas.microsoft.com/office/drawing/2014/main" id="{00000000-0008-0000-0100-0000AE010000}"/>
            </a:ext>
          </a:extLst>
        </xdr:cNvPr>
        <xdr:cNvCxnSpPr/>
      </xdr:nvCxnSpPr>
      <xdr:spPr>
        <a:xfrm flipV="1">
          <a:off x="27170063" y="22038469"/>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330994</xdr:colOff>
      <xdr:row>114</xdr:row>
      <xdr:rowOff>164307</xdr:rowOff>
    </xdr:from>
    <xdr:to>
      <xdr:col>35</xdr:col>
      <xdr:colOff>107157</xdr:colOff>
      <xdr:row>116</xdr:row>
      <xdr:rowOff>159544</xdr:rowOff>
    </xdr:to>
    <xdr:cxnSp macro="">
      <xdr:nvCxnSpPr>
        <xdr:cNvPr id="431" name="Conector recto 430">
          <a:extLst>
            <a:ext uri="{FF2B5EF4-FFF2-40B4-BE49-F238E27FC236}">
              <a16:creationId xmlns:a16="http://schemas.microsoft.com/office/drawing/2014/main" id="{00000000-0008-0000-0100-0000AF010000}"/>
            </a:ext>
          </a:extLst>
        </xdr:cNvPr>
        <xdr:cNvCxnSpPr/>
      </xdr:nvCxnSpPr>
      <xdr:spPr>
        <a:xfrm flipV="1">
          <a:off x="27691557" y="22036088"/>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138112</xdr:colOff>
      <xdr:row>114</xdr:row>
      <xdr:rowOff>150020</xdr:rowOff>
    </xdr:from>
    <xdr:to>
      <xdr:col>35</xdr:col>
      <xdr:colOff>628650</xdr:colOff>
      <xdr:row>116</xdr:row>
      <xdr:rowOff>145257</xdr:rowOff>
    </xdr:to>
    <xdr:cxnSp macro="">
      <xdr:nvCxnSpPr>
        <xdr:cNvPr id="432" name="Conector recto 431">
          <a:extLst>
            <a:ext uri="{FF2B5EF4-FFF2-40B4-BE49-F238E27FC236}">
              <a16:creationId xmlns:a16="http://schemas.microsoft.com/office/drawing/2014/main" id="{00000000-0008-0000-0100-0000B0010000}"/>
            </a:ext>
          </a:extLst>
        </xdr:cNvPr>
        <xdr:cNvCxnSpPr/>
      </xdr:nvCxnSpPr>
      <xdr:spPr>
        <a:xfrm flipV="1">
          <a:off x="28213050" y="22021801"/>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659606</xdr:colOff>
      <xdr:row>114</xdr:row>
      <xdr:rowOff>159544</xdr:rowOff>
    </xdr:from>
    <xdr:to>
      <xdr:col>36</xdr:col>
      <xdr:colOff>435769</xdr:colOff>
      <xdr:row>116</xdr:row>
      <xdr:rowOff>154781</xdr:rowOff>
    </xdr:to>
    <xdr:cxnSp macro="">
      <xdr:nvCxnSpPr>
        <xdr:cNvPr id="433" name="Conector recto 432">
          <a:extLst>
            <a:ext uri="{FF2B5EF4-FFF2-40B4-BE49-F238E27FC236}">
              <a16:creationId xmlns:a16="http://schemas.microsoft.com/office/drawing/2014/main" id="{00000000-0008-0000-0100-0000B1010000}"/>
            </a:ext>
          </a:extLst>
        </xdr:cNvPr>
        <xdr:cNvCxnSpPr/>
      </xdr:nvCxnSpPr>
      <xdr:spPr>
        <a:xfrm flipV="1">
          <a:off x="28734544" y="22031325"/>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478631</xdr:colOff>
      <xdr:row>114</xdr:row>
      <xdr:rowOff>157163</xdr:rowOff>
    </xdr:from>
    <xdr:to>
      <xdr:col>37</xdr:col>
      <xdr:colOff>254794</xdr:colOff>
      <xdr:row>116</xdr:row>
      <xdr:rowOff>152400</xdr:rowOff>
    </xdr:to>
    <xdr:cxnSp macro="">
      <xdr:nvCxnSpPr>
        <xdr:cNvPr id="434" name="Conector recto 433">
          <a:extLst>
            <a:ext uri="{FF2B5EF4-FFF2-40B4-BE49-F238E27FC236}">
              <a16:creationId xmlns:a16="http://schemas.microsoft.com/office/drawing/2014/main" id="{00000000-0008-0000-0100-0000B2010000}"/>
            </a:ext>
          </a:extLst>
        </xdr:cNvPr>
        <xdr:cNvCxnSpPr/>
      </xdr:nvCxnSpPr>
      <xdr:spPr>
        <a:xfrm flipV="1">
          <a:off x="29267944" y="22028944"/>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273844</xdr:colOff>
      <xdr:row>114</xdr:row>
      <xdr:rowOff>166688</xdr:rowOff>
    </xdr:from>
    <xdr:to>
      <xdr:col>38</xdr:col>
      <xdr:colOff>50007</xdr:colOff>
      <xdr:row>116</xdr:row>
      <xdr:rowOff>161925</xdr:rowOff>
    </xdr:to>
    <xdr:cxnSp macro="">
      <xdr:nvCxnSpPr>
        <xdr:cNvPr id="435" name="Conector recto 434">
          <a:extLst>
            <a:ext uri="{FF2B5EF4-FFF2-40B4-BE49-F238E27FC236}">
              <a16:creationId xmlns:a16="http://schemas.microsoft.com/office/drawing/2014/main" id="{00000000-0008-0000-0100-0000B3010000}"/>
            </a:ext>
          </a:extLst>
        </xdr:cNvPr>
        <xdr:cNvCxnSpPr/>
      </xdr:nvCxnSpPr>
      <xdr:spPr>
        <a:xfrm flipV="1">
          <a:off x="29777532" y="22038469"/>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104775</xdr:colOff>
      <xdr:row>114</xdr:row>
      <xdr:rowOff>152401</xdr:rowOff>
    </xdr:from>
    <xdr:to>
      <xdr:col>38</xdr:col>
      <xdr:colOff>595313</xdr:colOff>
      <xdr:row>116</xdr:row>
      <xdr:rowOff>147638</xdr:rowOff>
    </xdr:to>
    <xdr:cxnSp macro="">
      <xdr:nvCxnSpPr>
        <xdr:cNvPr id="436" name="Conector recto 435">
          <a:extLst>
            <a:ext uri="{FF2B5EF4-FFF2-40B4-BE49-F238E27FC236}">
              <a16:creationId xmlns:a16="http://schemas.microsoft.com/office/drawing/2014/main" id="{00000000-0008-0000-0100-0000B4010000}"/>
            </a:ext>
          </a:extLst>
        </xdr:cNvPr>
        <xdr:cNvCxnSpPr/>
      </xdr:nvCxnSpPr>
      <xdr:spPr>
        <a:xfrm flipV="1">
          <a:off x="30322838" y="22024182"/>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614362</xdr:colOff>
      <xdr:row>114</xdr:row>
      <xdr:rowOff>161925</xdr:rowOff>
    </xdr:from>
    <xdr:to>
      <xdr:col>39</xdr:col>
      <xdr:colOff>390525</xdr:colOff>
      <xdr:row>116</xdr:row>
      <xdr:rowOff>157162</xdr:rowOff>
    </xdr:to>
    <xdr:cxnSp macro="">
      <xdr:nvCxnSpPr>
        <xdr:cNvPr id="437" name="Conector recto 436">
          <a:extLst>
            <a:ext uri="{FF2B5EF4-FFF2-40B4-BE49-F238E27FC236}">
              <a16:creationId xmlns:a16="http://schemas.microsoft.com/office/drawing/2014/main" id="{00000000-0008-0000-0100-0000B5010000}"/>
            </a:ext>
          </a:extLst>
        </xdr:cNvPr>
        <xdr:cNvCxnSpPr/>
      </xdr:nvCxnSpPr>
      <xdr:spPr>
        <a:xfrm flipV="1">
          <a:off x="30832425" y="22033706"/>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445294</xdr:colOff>
      <xdr:row>114</xdr:row>
      <xdr:rowOff>159544</xdr:rowOff>
    </xdr:from>
    <xdr:to>
      <xdr:col>40</xdr:col>
      <xdr:colOff>221457</xdr:colOff>
      <xdr:row>116</xdr:row>
      <xdr:rowOff>154781</xdr:rowOff>
    </xdr:to>
    <xdr:cxnSp macro="">
      <xdr:nvCxnSpPr>
        <xdr:cNvPr id="438" name="Conector recto 437">
          <a:extLst>
            <a:ext uri="{FF2B5EF4-FFF2-40B4-BE49-F238E27FC236}">
              <a16:creationId xmlns:a16="http://schemas.microsoft.com/office/drawing/2014/main" id="{00000000-0008-0000-0100-0000B6010000}"/>
            </a:ext>
          </a:extLst>
        </xdr:cNvPr>
        <xdr:cNvCxnSpPr/>
      </xdr:nvCxnSpPr>
      <xdr:spPr>
        <a:xfrm flipV="1">
          <a:off x="31377732" y="22031325"/>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407194</xdr:colOff>
      <xdr:row>114</xdr:row>
      <xdr:rowOff>169069</xdr:rowOff>
    </xdr:from>
    <xdr:to>
      <xdr:col>41</xdr:col>
      <xdr:colOff>183357</xdr:colOff>
      <xdr:row>116</xdr:row>
      <xdr:rowOff>164306</xdr:rowOff>
    </xdr:to>
    <xdr:cxnSp macro="">
      <xdr:nvCxnSpPr>
        <xdr:cNvPr id="439" name="Conector recto 438">
          <a:extLst>
            <a:ext uri="{FF2B5EF4-FFF2-40B4-BE49-F238E27FC236}">
              <a16:creationId xmlns:a16="http://schemas.microsoft.com/office/drawing/2014/main" id="{00000000-0008-0000-0100-0000B7010000}"/>
            </a:ext>
          </a:extLst>
        </xdr:cNvPr>
        <xdr:cNvCxnSpPr/>
      </xdr:nvCxnSpPr>
      <xdr:spPr>
        <a:xfrm flipV="1">
          <a:off x="32054007" y="22040850"/>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-1</xdr:colOff>
      <xdr:row>92</xdr:row>
      <xdr:rowOff>190499</xdr:rowOff>
    </xdr:from>
    <xdr:to>
      <xdr:col>24</xdr:col>
      <xdr:colOff>523874</xdr:colOff>
      <xdr:row>99</xdr:row>
      <xdr:rowOff>35717</xdr:rowOff>
    </xdr:to>
    <xdr:sp macro="" textlink="">
      <xdr:nvSpPr>
        <xdr:cNvPr id="440" name="Rectángulo 439">
          <a:extLst>
            <a:ext uri="{FF2B5EF4-FFF2-40B4-BE49-F238E27FC236}">
              <a16:creationId xmlns:a16="http://schemas.microsoft.com/office/drawing/2014/main" id="{00000000-0008-0000-0100-0000B8010000}"/>
            </a:ext>
          </a:extLst>
        </xdr:cNvPr>
        <xdr:cNvSpPr/>
      </xdr:nvSpPr>
      <xdr:spPr>
        <a:xfrm>
          <a:off x="18788062" y="17871280"/>
          <a:ext cx="2667000" cy="117871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601</xdr:colOff>
      <xdr:row>96</xdr:row>
      <xdr:rowOff>27985</xdr:rowOff>
    </xdr:from>
    <xdr:to>
      <xdr:col>21</xdr:col>
      <xdr:colOff>456606</xdr:colOff>
      <xdr:row>99</xdr:row>
      <xdr:rowOff>39891</xdr:rowOff>
    </xdr:to>
    <xdr:sp macro="" textlink="">
      <xdr:nvSpPr>
        <xdr:cNvPr id="441" name="Rectángulo 440">
          <a:extLst>
            <a:ext uri="{FF2B5EF4-FFF2-40B4-BE49-F238E27FC236}">
              <a16:creationId xmlns:a16="http://schemas.microsoft.com/office/drawing/2014/main" id="{00000000-0008-0000-0100-0000B9010000}"/>
            </a:ext>
          </a:extLst>
        </xdr:cNvPr>
        <xdr:cNvSpPr/>
      </xdr:nvSpPr>
      <xdr:spPr>
        <a:xfrm>
          <a:off x="18788664" y="18470766"/>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450657</xdr:colOff>
      <xdr:row>96</xdr:row>
      <xdr:rowOff>25604</xdr:rowOff>
    </xdr:from>
    <xdr:to>
      <xdr:col>22</xdr:col>
      <xdr:colOff>192287</xdr:colOff>
      <xdr:row>99</xdr:row>
      <xdr:rowOff>37510</xdr:rowOff>
    </xdr:to>
    <xdr:sp macro="" textlink="">
      <xdr:nvSpPr>
        <xdr:cNvPr id="442" name="Rectángulo 441">
          <a:extLst>
            <a:ext uri="{FF2B5EF4-FFF2-40B4-BE49-F238E27FC236}">
              <a16:creationId xmlns:a16="http://schemas.microsoft.com/office/drawing/2014/main" id="{00000000-0008-0000-0100-0000BA010000}"/>
            </a:ext>
          </a:extLst>
        </xdr:cNvPr>
        <xdr:cNvSpPr/>
      </xdr:nvSpPr>
      <xdr:spPr>
        <a:xfrm>
          <a:off x="19238720" y="1846838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24</xdr:col>
      <xdr:colOff>67274</xdr:colOff>
      <xdr:row>92</xdr:row>
      <xdr:rowOff>189910</xdr:rowOff>
    </xdr:from>
    <xdr:to>
      <xdr:col>24</xdr:col>
      <xdr:colOff>523279</xdr:colOff>
      <xdr:row>96</xdr:row>
      <xdr:rowOff>11316</xdr:rowOff>
    </xdr:to>
    <xdr:sp macro="" textlink="">
      <xdr:nvSpPr>
        <xdr:cNvPr id="443" name="Rectángulo 442">
          <a:extLst>
            <a:ext uri="{FF2B5EF4-FFF2-40B4-BE49-F238E27FC236}">
              <a16:creationId xmlns:a16="http://schemas.microsoft.com/office/drawing/2014/main" id="{00000000-0008-0000-0100-0000BB010000}"/>
            </a:ext>
          </a:extLst>
        </xdr:cNvPr>
        <xdr:cNvSpPr/>
      </xdr:nvSpPr>
      <xdr:spPr>
        <a:xfrm>
          <a:off x="20998462" y="17870691"/>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326830</xdr:colOff>
      <xdr:row>92</xdr:row>
      <xdr:rowOff>187529</xdr:rowOff>
    </xdr:from>
    <xdr:to>
      <xdr:col>24</xdr:col>
      <xdr:colOff>68460</xdr:colOff>
      <xdr:row>96</xdr:row>
      <xdr:rowOff>8935</xdr:rowOff>
    </xdr:to>
    <xdr:sp macro="" textlink="">
      <xdr:nvSpPr>
        <xdr:cNvPr id="444" name="Rectángulo 443">
          <a:extLst>
            <a:ext uri="{FF2B5EF4-FFF2-40B4-BE49-F238E27FC236}">
              <a16:creationId xmlns:a16="http://schemas.microsoft.com/office/drawing/2014/main" id="{00000000-0008-0000-0100-0000BC010000}"/>
            </a:ext>
          </a:extLst>
        </xdr:cNvPr>
        <xdr:cNvSpPr/>
      </xdr:nvSpPr>
      <xdr:spPr>
        <a:xfrm>
          <a:off x="20543643" y="17868310"/>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20</xdr:col>
      <xdr:colOff>713188</xdr:colOff>
      <xdr:row>92</xdr:row>
      <xdr:rowOff>189316</xdr:rowOff>
    </xdr:from>
    <xdr:to>
      <xdr:col>21</xdr:col>
      <xdr:colOff>582219</xdr:colOff>
      <xdr:row>95</xdr:row>
      <xdr:rowOff>73821</xdr:rowOff>
    </xdr:to>
    <xdr:sp macro="" textlink="">
      <xdr:nvSpPr>
        <xdr:cNvPr id="445" name="Rectángulo 444">
          <a:extLst>
            <a:ext uri="{FF2B5EF4-FFF2-40B4-BE49-F238E27FC236}">
              <a16:creationId xmlns:a16="http://schemas.microsoft.com/office/drawing/2014/main" id="{00000000-0008-0000-0100-0000BD010000}"/>
            </a:ext>
          </a:extLst>
        </xdr:cNvPr>
        <xdr:cNvSpPr/>
      </xdr:nvSpPr>
      <xdr:spPr>
        <a:xfrm rot="16200000">
          <a:off x="18850576" y="17806397"/>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579838</xdr:colOff>
      <xdr:row>92</xdr:row>
      <xdr:rowOff>186935</xdr:rowOff>
    </xdr:from>
    <xdr:to>
      <xdr:col>22</xdr:col>
      <xdr:colOff>448869</xdr:colOff>
      <xdr:row>95</xdr:row>
      <xdr:rowOff>71440</xdr:rowOff>
    </xdr:to>
    <xdr:sp macro="" textlink="">
      <xdr:nvSpPr>
        <xdr:cNvPr id="446" name="Rectángulo 445">
          <a:extLst>
            <a:ext uri="{FF2B5EF4-FFF2-40B4-BE49-F238E27FC236}">
              <a16:creationId xmlns:a16="http://schemas.microsoft.com/office/drawing/2014/main" id="{00000000-0008-0000-0100-0000BE010000}"/>
            </a:ext>
          </a:extLst>
        </xdr:cNvPr>
        <xdr:cNvSpPr/>
      </xdr:nvSpPr>
      <xdr:spPr>
        <a:xfrm rot="16200000">
          <a:off x="19431601" y="17804016"/>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446489</xdr:colOff>
      <xdr:row>92</xdr:row>
      <xdr:rowOff>184554</xdr:rowOff>
    </xdr:from>
    <xdr:to>
      <xdr:col>23</xdr:col>
      <xdr:colOff>315520</xdr:colOff>
      <xdr:row>95</xdr:row>
      <xdr:rowOff>69059</xdr:rowOff>
    </xdr:to>
    <xdr:sp macro="" textlink="">
      <xdr:nvSpPr>
        <xdr:cNvPr id="447" name="Rectángulo 446">
          <a:extLst>
            <a:ext uri="{FF2B5EF4-FFF2-40B4-BE49-F238E27FC236}">
              <a16:creationId xmlns:a16="http://schemas.microsoft.com/office/drawing/2014/main" id="{00000000-0008-0000-0100-0000BF010000}"/>
            </a:ext>
          </a:extLst>
        </xdr:cNvPr>
        <xdr:cNvSpPr/>
      </xdr:nvSpPr>
      <xdr:spPr>
        <a:xfrm rot="16200000">
          <a:off x="20012627" y="1780163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194074</xdr:colOff>
      <xdr:row>96</xdr:row>
      <xdr:rowOff>154784</xdr:rowOff>
    </xdr:from>
    <xdr:to>
      <xdr:col>23</xdr:col>
      <xdr:colOff>63105</xdr:colOff>
      <xdr:row>99</xdr:row>
      <xdr:rowOff>30962</xdr:rowOff>
    </xdr:to>
    <xdr:sp macro="" textlink="">
      <xdr:nvSpPr>
        <xdr:cNvPr id="448" name="Rectángulo 447">
          <a:extLst>
            <a:ext uri="{FF2B5EF4-FFF2-40B4-BE49-F238E27FC236}">
              <a16:creationId xmlns:a16="http://schemas.microsoft.com/office/drawing/2014/main" id="{00000000-0008-0000-0100-0000C0010000}"/>
            </a:ext>
          </a:extLst>
        </xdr:cNvPr>
        <xdr:cNvSpPr/>
      </xdr:nvSpPr>
      <xdr:spPr>
        <a:xfrm rot="5400000">
          <a:off x="19764376" y="18529701"/>
          <a:ext cx="447678"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644132</xdr:colOff>
      <xdr:row>96</xdr:row>
      <xdr:rowOff>155984</xdr:rowOff>
    </xdr:from>
    <xdr:to>
      <xdr:col>24</xdr:col>
      <xdr:colOff>513163</xdr:colOff>
      <xdr:row>99</xdr:row>
      <xdr:rowOff>40489</xdr:rowOff>
    </xdr:to>
    <xdr:sp macro="" textlink="">
      <xdr:nvSpPr>
        <xdr:cNvPr id="449" name="Rectángulo 448">
          <a:extLst>
            <a:ext uri="{FF2B5EF4-FFF2-40B4-BE49-F238E27FC236}">
              <a16:creationId xmlns:a16="http://schemas.microsoft.com/office/drawing/2014/main" id="{00000000-0008-0000-0100-0000C1010000}"/>
            </a:ext>
          </a:extLst>
        </xdr:cNvPr>
        <xdr:cNvSpPr/>
      </xdr:nvSpPr>
      <xdr:spPr>
        <a:xfrm rot="5400000">
          <a:off x="20924645" y="1853506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58346</xdr:colOff>
      <xdr:row>96</xdr:row>
      <xdr:rowOff>153600</xdr:rowOff>
    </xdr:from>
    <xdr:to>
      <xdr:col>23</xdr:col>
      <xdr:colOff>641752</xdr:colOff>
      <xdr:row>99</xdr:row>
      <xdr:rowOff>38105</xdr:rowOff>
    </xdr:to>
    <xdr:sp macro="" textlink="">
      <xdr:nvSpPr>
        <xdr:cNvPr id="450" name="Rectángulo 449">
          <a:extLst>
            <a:ext uri="{FF2B5EF4-FFF2-40B4-BE49-F238E27FC236}">
              <a16:creationId xmlns:a16="http://schemas.microsoft.com/office/drawing/2014/main" id="{00000000-0008-0000-0100-0000C2010000}"/>
            </a:ext>
          </a:extLst>
        </xdr:cNvPr>
        <xdr:cNvSpPr/>
      </xdr:nvSpPr>
      <xdr:spPr>
        <a:xfrm rot="5400000">
          <a:off x="20338859" y="18532681"/>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26</xdr:col>
      <xdr:colOff>72039</xdr:colOff>
      <xdr:row>143</xdr:row>
      <xdr:rowOff>158953</xdr:rowOff>
    </xdr:from>
    <xdr:to>
      <xdr:col>26</xdr:col>
      <xdr:colOff>528044</xdr:colOff>
      <xdr:row>146</xdr:row>
      <xdr:rowOff>170859</xdr:rowOff>
    </xdr:to>
    <xdr:sp macro="" textlink="">
      <xdr:nvSpPr>
        <xdr:cNvPr id="452" name="Rectángulo 451">
          <a:extLst>
            <a:ext uri="{FF2B5EF4-FFF2-40B4-BE49-F238E27FC236}">
              <a16:creationId xmlns:a16="http://schemas.microsoft.com/office/drawing/2014/main" id="{00000000-0008-0000-0100-0000C4010000}"/>
            </a:ext>
          </a:extLst>
        </xdr:cNvPr>
        <xdr:cNvSpPr/>
      </xdr:nvSpPr>
      <xdr:spPr>
        <a:xfrm>
          <a:off x="22431977" y="27555234"/>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25</xdr:col>
      <xdr:colOff>331596</xdr:colOff>
      <xdr:row>143</xdr:row>
      <xdr:rowOff>156574</xdr:rowOff>
    </xdr:from>
    <xdr:to>
      <xdr:col>26</xdr:col>
      <xdr:colOff>73226</xdr:colOff>
      <xdr:row>146</xdr:row>
      <xdr:rowOff>168480</xdr:rowOff>
    </xdr:to>
    <xdr:sp macro="" textlink="">
      <xdr:nvSpPr>
        <xdr:cNvPr id="453" name="Rectángulo 452">
          <a:extLst>
            <a:ext uri="{FF2B5EF4-FFF2-40B4-BE49-F238E27FC236}">
              <a16:creationId xmlns:a16="http://schemas.microsoft.com/office/drawing/2014/main" id="{00000000-0008-0000-0100-0000C5010000}"/>
            </a:ext>
          </a:extLst>
        </xdr:cNvPr>
        <xdr:cNvSpPr/>
      </xdr:nvSpPr>
      <xdr:spPr>
        <a:xfrm>
          <a:off x="21977159" y="2755285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388743</xdr:colOff>
      <xdr:row>143</xdr:row>
      <xdr:rowOff>154193</xdr:rowOff>
    </xdr:from>
    <xdr:to>
      <xdr:col>24</xdr:col>
      <xdr:colOff>130373</xdr:colOff>
      <xdr:row>146</xdr:row>
      <xdr:rowOff>166099</xdr:rowOff>
    </xdr:to>
    <xdr:sp macro="" textlink="">
      <xdr:nvSpPr>
        <xdr:cNvPr id="454" name="Rectángulo 453">
          <a:extLst>
            <a:ext uri="{FF2B5EF4-FFF2-40B4-BE49-F238E27FC236}">
              <a16:creationId xmlns:a16="http://schemas.microsoft.com/office/drawing/2014/main" id="{00000000-0008-0000-0100-0000C6010000}"/>
            </a:ext>
          </a:extLst>
        </xdr:cNvPr>
        <xdr:cNvSpPr/>
      </xdr:nvSpPr>
      <xdr:spPr>
        <a:xfrm>
          <a:off x="20605556" y="27550474"/>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24</xdr:col>
      <xdr:colOff>588768</xdr:colOff>
      <xdr:row>143</xdr:row>
      <xdr:rowOff>151812</xdr:rowOff>
    </xdr:from>
    <xdr:to>
      <xdr:col>25</xdr:col>
      <xdr:colOff>330398</xdr:colOff>
      <xdr:row>146</xdr:row>
      <xdr:rowOff>163718</xdr:rowOff>
    </xdr:to>
    <xdr:sp macro="" textlink="">
      <xdr:nvSpPr>
        <xdr:cNvPr id="455" name="Rectángulo 454">
          <a:extLst>
            <a:ext uri="{FF2B5EF4-FFF2-40B4-BE49-F238E27FC236}">
              <a16:creationId xmlns:a16="http://schemas.microsoft.com/office/drawing/2014/main" id="{00000000-0008-0000-0100-0000C7010000}"/>
            </a:ext>
          </a:extLst>
        </xdr:cNvPr>
        <xdr:cNvSpPr/>
      </xdr:nvSpPr>
      <xdr:spPr>
        <a:xfrm>
          <a:off x="21519956" y="27548093"/>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20</xdr:col>
      <xdr:colOff>713188</xdr:colOff>
      <xdr:row>140</xdr:row>
      <xdr:rowOff>189316</xdr:rowOff>
    </xdr:from>
    <xdr:to>
      <xdr:col>21</xdr:col>
      <xdr:colOff>582219</xdr:colOff>
      <xdr:row>143</xdr:row>
      <xdr:rowOff>73821</xdr:rowOff>
    </xdr:to>
    <xdr:sp macro="" textlink="">
      <xdr:nvSpPr>
        <xdr:cNvPr id="456" name="Rectángulo 455">
          <a:extLst>
            <a:ext uri="{FF2B5EF4-FFF2-40B4-BE49-F238E27FC236}">
              <a16:creationId xmlns:a16="http://schemas.microsoft.com/office/drawing/2014/main" id="{00000000-0008-0000-0100-0000C8010000}"/>
            </a:ext>
          </a:extLst>
        </xdr:cNvPr>
        <xdr:cNvSpPr/>
      </xdr:nvSpPr>
      <xdr:spPr>
        <a:xfrm rot="16200000">
          <a:off x="18850576" y="17806397"/>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579838</xdr:colOff>
      <xdr:row>140</xdr:row>
      <xdr:rowOff>186935</xdr:rowOff>
    </xdr:from>
    <xdr:to>
      <xdr:col>22</xdr:col>
      <xdr:colOff>448869</xdr:colOff>
      <xdr:row>143</xdr:row>
      <xdr:rowOff>71440</xdr:rowOff>
    </xdr:to>
    <xdr:sp macro="" textlink="">
      <xdr:nvSpPr>
        <xdr:cNvPr id="457" name="Rectángulo 456">
          <a:extLst>
            <a:ext uri="{FF2B5EF4-FFF2-40B4-BE49-F238E27FC236}">
              <a16:creationId xmlns:a16="http://schemas.microsoft.com/office/drawing/2014/main" id="{00000000-0008-0000-0100-0000C9010000}"/>
            </a:ext>
          </a:extLst>
        </xdr:cNvPr>
        <xdr:cNvSpPr/>
      </xdr:nvSpPr>
      <xdr:spPr>
        <a:xfrm rot="16200000">
          <a:off x="19431601" y="17804016"/>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446489</xdr:colOff>
      <xdr:row>140</xdr:row>
      <xdr:rowOff>184554</xdr:rowOff>
    </xdr:from>
    <xdr:to>
      <xdr:col>23</xdr:col>
      <xdr:colOff>315520</xdr:colOff>
      <xdr:row>143</xdr:row>
      <xdr:rowOff>69059</xdr:rowOff>
    </xdr:to>
    <xdr:sp macro="" textlink="">
      <xdr:nvSpPr>
        <xdr:cNvPr id="458" name="Rectángulo 457">
          <a:extLst>
            <a:ext uri="{FF2B5EF4-FFF2-40B4-BE49-F238E27FC236}">
              <a16:creationId xmlns:a16="http://schemas.microsoft.com/office/drawing/2014/main" id="{00000000-0008-0000-0100-0000CA010000}"/>
            </a:ext>
          </a:extLst>
        </xdr:cNvPr>
        <xdr:cNvSpPr/>
      </xdr:nvSpPr>
      <xdr:spPr>
        <a:xfrm rot="16200000">
          <a:off x="20012627" y="1780163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190501</xdr:colOff>
      <xdr:row>143</xdr:row>
      <xdr:rowOff>158359</xdr:rowOff>
    </xdr:from>
    <xdr:to>
      <xdr:col>22</xdr:col>
      <xdr:colOff>638179</xdr:colOff>
      <xdr:row>146</xdr:row>
      <xdr:rowOff>170265</xdr:rowOff>
    </xdr:to>
    <xdr:sp macro="" textlink="">
      <xdr:nvSpPr>
        <xdr:cNvPr id="459" name="Rectángulo 458">
          <a:extLst>
            <a:ext uri="{FF2B5EF4-FFF2-40B4-BE49-F238E27FC236}">
              <a16:creationId xmlns:a16="http://schemas.microsoft.com/office/drawing/2014/main" id="{00000000-0008-0000-0100-0000CB010000}"/>
            </a:ext>
          </a:extLst>
        </xdr:cNvPr>
        <xdr:cNvSpPr/>
      </xdr:nvSpPr>
      <xdr:spPr>
        <a:xfrm>
          <a:off x="19692939" y="27554640"/>
          <a:ext cx="447678"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24</xdr:col>
      <xdr:colOff>191695</xdr:colOff>
      <xdr:row>141</xdr:row>
      <xdr:rowOff>1204</xdr:rowOff>
    </xdr:from>
    <xdr:to>
      <xdr:col>25</xdr:col>
      <xdr:colOff>60726</xdr:colOff>
      <xdr:row>143</xdr:row>
      <xdr:rowOff>76209</xdr:rowOff>
    </xdr:to>
    <xdr:sp macro="" textlink="">
      <xdr:nvSpPr>
        <xdr:cNvPr id="460" name="Rectángulo 459">
          <a:extLst>
            <a:ext uri="{FF2B5EF4-FFF2-40B4-BE49-F238E27FC236}">
              <a16:creationId xmlns:a16="http://schemas.microsoft.com/office/drawing/2014/main" id="{00000000-0008-0000-0100-0000CC010000}"/>
            </a:ext>
          </a:extLst>
        </xdr:cNvPr>
        <xdr:cNvSpPr/>
      </xdr:nvSpPr>
      <xdr:spPr>
        <a:xfrm rot="5400000">
          <a:off x="21186583" y="2695278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25</xdr:col>
      <xdr:colOff>641752</xdr:colOff>
      <xdr:row>140</xdr:row>
      <xdr:rowOff>189320</xdr:rowOff>
    </xdr:from>
    <xdr:to>
      <xdr:col>26</xdr:col>
      <xdr:colOff>510783</xdr:colOff>
      <xdr:row>143</xdr:row>
      <xdr:rowOff>73825</xdr:rowOff>
    </xdr:to>
    <xdr:sp macro="" textlink="">
      <xdr:nvSpPr>
        <xdr:cNvPr id="461" name="Rectángulo 460">
          <a:extLst>
            <a:ext uri="{FF2B5EF4-FFF2-40B4-BE49-F238E27FC236}">
              <a16:creationId xmlns:a16="http://schemas.microsoft.com/office/drawing/2014/main" id="{00000000-0008-0000-0100-0000CD010000}"/>
            </a:ext>
          </a:extLst>
        </xdr:cNvPr>
        <xdr:cNvSpPr/>
      </xdr:nvSpPr>
      <xdr:spPr>
        <a:xfrm rot="5400000">
          <a:off x="22351015" y="26950401"/>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-1</xdr:colOff>
      <xdr:row>140</xdr:row>
      <xdr:rowOff>190499</xdr:rowOff>
    </xdr:from>
    <xdr:to>
      <xdr:col>30</xdr:col>
      <xdr:colOff>71438</xdr:colOff>
      <xdr:row>146</xdr:row>
      <xdr:rowOff>166688</xdr:rowOff>
    </xdr:to>
    <xdr:sp macro="" textlink="">
      <xdr:nvSpPr>
        <xdr:cNvPr id="462" name="Rectángulo 461">
          <a:extLst>
            <a:ext uri="{FF2B5EF4-FFF2-40B4-BE49-F238E27FC236}">
              <a16:creationId xmlns:a16="http://schemas.microsoft.com/office/drawing/2014/main" id="{00000000-0008-0000-0100-0000CE010000}"/>
            </a:ext>
          </a:extLst>
        </xdr:cNvPr>
        <xdr:cNvSpPr/>
      </xdr:nvSpPr>
      <xdr:spPr>
        <a:xfrm>
          <a:off x="18788062" y="27015280"/>
          <a:ext cx="6500814" cy="1119189"/>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601</xdr:colOff>
      <xdr:row>143</xdr:row>
      <xdr:rowOff>158955</xdr:rowOff>
    </xdr:from>
    <xdr:to>
      <xdr:col>21</xdr:col>
      <xdr:colOff>456606</xdr:colOff>
      <xdr:row>146</xdr:row>
      <xdr:rowOff>170861</xdr:rowOff>
    </xdr:to>
    <xdr:sp macro="" textlink="">
      <xdr:nvSpPr>
        <xdr:cNvPr id="463" name="Rectángulo 462">
          <a:extLst>
            <a:ext uri="{FF2B5EF4-FFF2-40B4-BE49-F238E27FC236}">
              <a16:creationId xmlns:a16="http://schemas.microsoft.com/office/drawing/2014/main" id="{00000000-0008-0000-0100-0000CF010000}"/>
            </a:ext>
          </a:extLst>
        </xdr:cNvPr>
        <xdr:cNvSpPr/>
      </xdr:nvSpPr>
      <xdr:spPr>
        <a:xfrm>
          <a:off x="18788664" y="27555236"/>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21</xdr:col>
      <xdr:colOff>450657</xdr:colOff>
      <xdr:row>143</xdr:row>
      <xdr:rowOff>156574</xdr:rowOff>
    </xdr:from>
    <xdr:to>
      <xdr:col>22</xdr:col>
      <xdr:colOff>192287</xdr:colOff>
      <xdr:row>146</xdr:row>
      <xdr:rowOff>168480</xdr:rowOff>
    </xdr:to>
    <xdr:sp macro="" textlink="">
      <xdr:nvSpPr>
        <xdr:cNvPr id="464" name="Rectángulo 463">
          <a:extLst>
            <a:ext uri="{FF2B5EF4-FFF2-40B4-BE49-F238E27FC236}">
              <a16:creationId xmlns:a16="http://schemas.microsoft.com/office/drawing/2014/main" id="{00000000-0008-0000-0100-0000D0010000}"/>
            </a:ext>
          </a:extLst>
        </xdr:cNvPr>
        <xdr:cNvSpPr/>
      </xdr:nvSpPr>
      <xdr:spPr>
        <a:xfrm>
          <a:off x="19238720" y="2755285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24</xdr:col>
      <xdr:colOff>126805</xdr:colOff>
      <xdr:row>143</xdr:row>
      <xdr:rowOff>154192</xdr:rowOff>
    </xdr:from>
    <xdr:to>
      <xdr:col>24</xdr:col>
      <xdr:colOff>582810</xdr:colOff>
      <xdr:row>146</xdr:row>
      <xdr:rowOff>166098</xdr:rowOff>
    </xdr:to>
    <xdr:sp macro="" textlink="">
      <xdr:nvSpPr>
        <xdr:cNvPr id="465" name="Rectángulo 464">
          <a:extLst>
            <a:ext uri="{FF2B5EF4-FFF2-40B4-BE49-F238E27FC236}">
              <a16:creationId xmlns:a16="http://schemas.microsoft.com/office/drawing/2014/main" id="{00000000-0008-0000-0100-0000D1010000}"/>
            </a:ext>
          </a:extLst>
        </xdr:cNvPr>
        <xdr:cNvSpPr/>
      </xdr:nvSpPr>
      <xdr:spPr>
        <a:xfrm>
          <a:off x="21057993" y="27550473"/>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648298</xdr:colOff>
      <xdr:row>143</xdr:row>
      <xdr:rowOff>151812</xdr:rowOff>
    </xdr:from>
    <xdr:to>
      <xdr:col>23</xdr:col>
      <xdr:colOff>389928</xdr:colOff>
      <xdr:row>146</xdr:row>
      <xdr:rowOff>163718</xdr:rowOff>
    </xdr:to>
    <xdr:sp macro="" textlink="">
      <xdr:nvSpPr>
        <xdr:cNvPr id="466" name="Rectángulo 465">
          <a:extLst>
            <a:ext uri="{FF2B5EF4-FFF2-40B4-BE49-F238E27FC236}">
              <a16:creationId xmlns:a16="http://schemas.microsoft.com/office/drawing/2014/main" id="{00000000-0008-0000-0100-0000D2010000}"/>
            </a:ext>
          </a:extLst>
        </xdr:cNvPr>
        <xdr:cNvSpPr/>
      </xdr:nvSpPr>
      <xdr:spPr>
        <a:xfrm>
          <a:off x="20150736" y="27548093"/>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20</xdr:col>
      <xdr:colOff>713188</xdr:colOff>
      <xdr:row>140</xdr:row>
      <xdr:rowOff>189316</xdr:rowOff>
    </xdr:from>
    <xdr:to>
      <xdr:col>21</xdr:col>
      <xdr:colOff>582219</xdr:colOff>
      <xdr:row>143</xdr:row>
      <xdr:rowOff>73821</xdr:rowOff>
    </xdr:to>
    <xdr:sp macro="" textlink="">
      <xdr:nvSpPr>
        <xdr:cNvPr id="467" name="Rectángulo 466">
          <a:extLst>
            <a:ext uri="{FF2B5EF4-FFF2-40B4-BE49-F238E27FC236}">
              <a16:creationId xmlns:a16="http://schemas.microsoft.com/office/drawing/2014/main" id="{00000000-0008-0000-0100-0000D3010000}"/>
            </a:ext>
          </a:extLst>
        </xdr:cNvPr>
        <xdr:cNvSpPr/>
      </xdr:nvSpPr>
      <xdr:spPr>
        <a:xfrm rot="16200000">
          <a:off x="18850576" y="17806397"/>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27</xdr:col>
      <xdr:colOff>377433</xdr:colOff>
      <xdr:row>140</xdr:row>
      <xdr:rowOff>186935</xdr:rowOff>
    </xdr:from>
    <xdr:to>
      <xdr:col>28</xdr:col>
      <xdr:colOff>246464</xdr:colOff>
      <xdr:row>143</xdr:row>
      <xdr:rowOff>71440</xdr:rowOff>
    </xdr:to>
    <xdr:sp macro="" textlink="">
      <xdr:nvSpPr>
        <xdr:cNvPr id="468" name="Rectángulo 467">
          <a:extLst>
            <a:ext uri="{FF2B5EF4-FFF2-40B4-BE49-F238E27FC236}">
              <a16:creationId xmlns:a16="http://schemas.microsoft.com/office/drawing/2014/main" id="{00000000-0008-0000-0100-0000D4010000}"/>
            </a:ext>
          </a:extLst>
        </xdr:cNvPr>
        <xdr:cNvSpPr/>
      </xdr:nvSpPr>
      <xdr:spPr>
        <a:xfrm rot="16200000">
          <a:off x="23515446" y="26948016"/>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22</xdr:col>
      <xdr:colOff>446489</xdr:colOff>
      <xdr:row>140</xdr:row>
      <xdr:rowOff>184554</xdr:rowOff>
    </xdr:from>
    <xdr:to>
      <xdr:col>23</xdr:col>
      <xdr:colOff>315520</xdr:colOff>
      <xdr:row>143</xdr:row>
      <xdr:rowOff>69059</xdr:rowOff>
    </xdr:to>
    <xdr:sp macro="" textlink="">
      <xdr:nvSpPr>
        <xdr:cNvPr id="469" name="Rectángulo 468">
          <a:extLst>
            <a:ext uri="{FF2B5EF4-FFF2-40B4-BE49-F238E27FC236}">
              <a16:creationId xmlns:a16="http://schemas.microsoft.com/office/drawing/2014/main" id="{00000000-0008-0000-0100-0000D5010000}"/>
            </a:ext>
          </a:extLst>
        </xdr:cNvPr>
        <xdr:cNvSpPr/>
      </xdr:nvSpPr>
      <xdr:spPr>
        <a:xfrm rot="16200000">
          <a:off x="20012627" y="1780163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26</xdr:col>
      <xdr:colOff>515542</xdr:colOff>
      <xdr:row>141</xdr:row>
      <xdr:rowOff>3</xdr:rowOff>
    </xdr:from>
    <xdr:to>
      <xdr:col>27</xdr:col>
      <xdr:colOff>384573</xdr:colOff>
      <xdr:row>143</xdr:row>
      <xdr:rowOff>66681</xdr:rowOff>
    </xdr:to>
    <xdr:sp macro="" textlink="">
      <xdr:nvSpPr>
        <xdr:cNvPr id="470" name="Rectángulo 469">
          <a:extLst>
            <a:ext uri="{FF2B5EF4-FFF2-40B4-BE49-F238E27FC236}">
              <a16:creationId xmlns:a16="http://schemas.microsoft.com/office/drawing/2014/main" id="{00000000-0008-0000-0100-0000D6010000}"/>
            </a:ext>
          </a:extLst>
        </xdr:cNvPr>
        <xdr:cNvSpPr/>
      </xdr:nvSpPr>
      <xdr:spPr>
        <a:xfrm rot="5400000">
          <a:off x="22943344" y="26947420"/>
          <a:ext cx="447678"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23</xdr:col>
      <xdr:colOff>322664</xdr:colOff>
      <xdr:row>141</xdr:row>
      <xdr:rowOff>1203</xdr:rowOff>
    </xdr:from>
    <xdr:to>
      <xdr:col>24</xdr:col>
      <xdr:colOff>191695</xdr:colOff>
      <xdr:row>143</xdr:row>
      <xdr:rowOff>76208</xdr:rowOff>
    </xdr:to>
    <xdr:sp macro="" textlink="">
      <xdr:nvSpPr>
        <xdr:cNvPr id="471" name="Rectángulo 470">
          <a:extLst>
            <a:ext uri="{FF2B5EF4-FFF2-40B4-BE49-F238E27FC236}">
              <a16:creationId xmlns:a16="http://schemas.microsoft.com/office/drawing/2014/main" id="{00000000-0008-0000-0100-0000D7010000}"/>
            </a:ext>
          </a:extLst>
        </xdr:cNvPr>
        <xdr:cNvSpPr/>
      </xdr:nvSpPr>
      <xdr:spPr>
        <a:xfrm rot="5400000">
          <a:off x="20603177" y="26952784"/>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25</xdr:col>
      <xdr:colOff>58346</xdr:colOff>
      <xdr:row>140</xdr:row>
      <xdr:rowOff>189320</xdr:rowOff>
    </xdr:from>
    <xdr:to>
      <xdr:col>25</xdr:col>
      <xdr:colOff>641752</xdr:colOff>
      <xdr:row>143</xdr:row>
      <xdr:rowOff>73825</xdr:rowOff>
    </xdr:to>
    <xdr:sp macro="" textlink="">
      <xdr:nvSpPr>
        <xdr:cNvPr id="472" name="Rectángulo 471">
          <a:extLst>
            <a:ext uri="{FF2B5EF4-FFF2-40B4-BE49-F238E27FC236}">
              <a16:creationId xmlns:a16="http://schemas.microsoft.com/office/drawing/2014/main" id="{00000000-0008-0000-0100-0000D8010000}"/>
            </a:ext>
          </a:extLst>
        </xdr:cNvPr>
        <xdr:cNvSpPr/>
      </xdr:nvSpPr>
      <xdr:spPr>
        <a:xfrm rot="5400000">
          <a:off x="21767609" y="26950401"/>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27</xdr:col>
      <xdr:colOff>262538</xdr:colOff>
      <xdr:row>143</xdr:row>
      <xdr:rowOff>158953</xdr:rowOff>
    </xdr:from>
    <xdr:to>
      <xdr:col>28</xdr:col>
      <xdr:colOff>4168</xdr:colOff>
      <xdr:row>146</xdr:row>
      <xdr:rowOff>170859</xdr:rowOff>
    </xdr:to>
    <xdr:sp macro="" textlink="">
      <xdr:nvSpPr>
        <xdr:cNvPr id="474" name="Rectángulo 473">
          <a:extLst>
            <a:ext uri="{FF2B5EF4-FFF2-40B4-BE49-F238E27FC236}">
              <a16:creationId xmlns:a16="http://schemas.microsoft.com/office/drawing/2014/main" id="{00000000-0008-0000-0100-0000DA010000}"/>
            </a:ext>
          </a:extLst>
        </xdr:cNvPr>
        <xdr:cNvSpPr/>
      </xdr:nvSpPr>
      <xdr:spPr>
        <a:xfrm>
          <a:off x="23336851" y="27555234"/>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28</xdr:col>
      <xdr:colOff>450657</xdr:colOff>
      <xdr:row>143</xdr:row>
      <xdr:rowOff>156573</xdr:rowOff>
    </xdr:from>
    <xdr:to>
      <xdr:col>29</xdr:col>
      <xdr:colOff>192287</xdr:colOff>
      <xdr:row>146</xdr:row>
      <xdr:rowOff>168479</xdr:rowOff>
    </xdr:to>
    <xdr:sp macro="" textlink="">
      <xdr:nvSpPr>
        <xdr:cNvPr id="475" name="Rectángulo 474">
          <a:extLst>
            <a:ext uri="{FF2B5EF4-FFF2-40B4-BE49-F238E27FC236}">
              <a16:creationId xmlns:a16="http://schemas.microsoft.com/office/drawing/2014/main" id="{00000000-0008-0000-0100-0000DB010000}"/>
            </a:ext>
          </a:extLst>
        </xdr:cNvPr>
        <xdr:cNvSpPr/>
      </xdr:nvSpPr>
      <xdr:spPr>
        <a:xfrm>
          <a:off x="24239345" y="27552854"/>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26</xdr:col>
      <xdr:colOff>524477</xdr:colOff>
      <xdr:row>143</xdr:row>
      <xdr:rowOff>158954</xdr:rowOff>
    </xdr:from>
    <xdr:to>
      <xdr:col>27</xdr:col>
      <xdr:colOff>266107</xdr:colOff>
      <xdr:row>146</xdr:row>
      <xdr:rowOff>170860</xdr:rowOff>
    </xdr:to>
    <xdr:sp macro="" textlink="">
      <xdr:nvSpPr>
        <xdr:cNvPr id="485" name="Rectángulo 484">
          <a:extLst>
            <a:ext uri="{FF2B5EF4-FFF2-40B4-BE49-F238E27FC236}">
              <a16:creationId xmlns:a16="http://schemas.microsoft.com/office/drawing/2014/main" id="{00000000-0008-0000-0100-0000E5010000}"/>
            </a:ext>
          </a:extLst>
        </xdr:cNvPr>
        <xdr:cNvSpPr/>
      </xdr:nvSpPr>
      <xdr:spPr>
        <a:xfrm>
          <a:off x="22884415" y="27555235"/>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27</xdr:col>
      <xdr:colOff>712595</xdr:colOff>
      <xdr:row>143</xdr:row>
      <xdr:rowOff>156573</xdr:rowOff>
    </xdr:from>
    <xdr:to>
      <xdr:col>28</xdr:col>
      <xdr:colOff>454225</xdr:colOff>
      <xdr:row>146</xdr:row>
      <xdr:rowOff>168479</xdr:rowOff>
    </xdr:to>
    <xdr:sp macro="" textlink="">
      <xdr:nvSpPr>
        <xdr:cNvPr id="486" name="Rectángulo 485">
          <a:extLst>
            <a:ext uri="{FF2B5EF4-FFF2-40B4-BE49-F238E27FC236}">
              <a16:creationId xmlns:a16="http://schemas.microsoft.com/office/drawing/2014/main" id="{00000000-0008-0000-0100-0000E6010000}"/>
            </a:ext>
          </a:extLst>
        </xdr:cNvPr>
        <xdr:cNvSpPr/>
      </xdr:nvSpPr>
      <xdr:spPr>
        <a:xfrm>
          <a:off x="23786908" y="27552854"/>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29</xdr:col>
      <xdr:colOff>195862</xdr:colOff>
      <xdr:row>143</xdr:row>
      <xdr:rowOff>151810</xdr:rowOff>
    </xdr:from>
    <xdr:to>
      <xdr:col>29</xdr:col>
      <xdr:colOff>651867</xdr:colOff>
      <xdr:row>146</xdr:row>
      <xdr:rowOff>163716</xdr:rowOff>
    </xdr:to>
    <xdr:sp macro="" textlink="">
      <xdr:nvSpPr>
        <xdr:cNvPr id="488" name="Rectángulo 487">
          <a:extLst>
            <a:ext uri="{FF2B5EF4-FFF2-40B4-BE49-F238E27FC236}">
              <a16:creationId xmlns:a16="http://schemas.microsoft.com/office/drawing/2014/main" id="{00000000-0008-0000-0100-0000E8010000}"/>
            </a:ext>
          </a:extLst>
        </xdr:cNvPr>
        <xdr:cNvSpPr/>
      </xdr:nvSpPr>
      <xdr:spPr>
        <a:xfrm>
          <a:off x="24698925" y="27548091"/>
          <a:ext cx="45600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32</xdr:col>
      <xdr:colOff>333374</xdr:colOff>
      <xdr:row>142</xdr:row>
      <xdr:rowOff>166688</xdr:rowOff>
    </xdr:from>
    <xdr:to>
      <xdr:col>41</xdr:col>
      <xdr:colOff>392906</xdr:colOff>
      <xdr:row>146</xdr:row>
      <xdr:rowOff>95251</xdr:rowOff>
    </xdr:to>
    <xdr:sp macro="" textlink="">
      <xdr:nvSpPr>
        <xdr:cNvPr id="495" name="Rectángulo 494">
          <a:extLst>
            <a:ext uri="{FF2B5EF4-FFF2-40B4-BE49-F238E27FC236}">
              <a16:creationId xmlns:a16="http://schemas.microsoft.com/office/drawing/2014/main" id="{00000000-0008-0000-0100-0000EF010000}"/>
            </a:ext>
          </a:extLst>
        </xdr:cNvPr>
        <xdr:cNvSpPr/>
      </xdr:nvSpPr>
      <xdr:spPr>
        <a:xfrm>
          <a:off x="26979562" y="27372469"/>
          <a:ext cx="6488907" cy="690563"/>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33</xdr:col>
      <xdr:colOff>69056</xdr:colOff>
      <xdr:row>142</xdr:row>
      <xdr:rowOff>166687</xdr:rowOff>
    </xdr:from>
    <xdr:to>
      <xdr:col>33</xdr:col>
      <xdr:colOff>535781</xdr:colOff>
      <xdr:row>146</xdr:row>
      <xdr:rowOff>92867</xdr:rowOff>
    </xdr:to>
    <xdr:sp macro="" textlink="">
      <xdr:nvSpPr>
        <xdr:cNvPr id="500" name="Rectángulo 499">
          <a:extLst>
            <a:ext uri="{FF2B5EF4-FFF2-40B4-BE49-F238E27FC236}">
              <a16:creationId xmlns:a16="http://schemas.microsoft.com/office/drawing/2014/main" id="{00000000-0008-0000-0100-0000F4010000}"/>
            </a:ext>
          </a:extLst>
        </xdr:cNvPr>
        <xdr:cNvSpPr/>
      </xdr:nvSpPr>
      <xdr:spPr>
        <a:xfrm>
          <a:off x="27429619" y="27372468"/>
          <a:ext cx="466725" cy="68818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40</xdr:col>
      <xdr:colOff>178593</xdr:colOff>
      <xdr:row>142</xdr:row>
      <xdr:rowOff>164307</xdr:rowOff>
    </xdr:from>
    <xdr:to>
      <xdr:col>40</xdr:col>
      <xdr:colOff>645320</xdr:colOff>
      <xdr:row>146</xdr:row>
      <xdr:rowOff>97631</xdr:rowOff>
    </xdr:to>
    <xdr:sp macro="" textlink="">
      <xdr:nvSpPr>
        <xdr:cNvPr id="503" name="Rectángulo 502">
          <a:extLst>
            <a:ext uri="{FF2B5EF4-FFF2-40B4-BE49-F238E27FC236}">
              <a16:creationId xmlns:a16="http://schemas.microsoft.com/office/drawing/2014/main" id="{00000000-0008-0000-0100-0000F7010000}"/>
            </a:ext>
          </a:extLst>
        </xdr:cNvPr>
        <xdr:cNvSpPr/>
      </xdr:nvSpPr>
      <xdr:spPr>
        <a:xfrm>
          <a:off x="32539781" y="27370088"/>
          <a:ext cx="466727"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38</xdr:col>
      <xdr:colOff>678656</xdr:colOff>
      <xdr:row>142</xdr:row>
      <xdr:rowOff>161925</xdr:rowOff>
    </xdr:from>
    <xdr:to>
      <xdr:col>39</xdr:col>
      <xdr:colOff>428625</xdr:colOff>
      <xdr:row>146</xdr:row>
      <xdr:rowOff>95249</xdr:rowOff>
    </xdr:to>
    <xdr:sp macro="" textlink="">
      <xdr:nvSpPr>
        <xdr:cNvPr id="504" name="Rectángulo 503">
          <a:extLst>
            <a:ext uri="{FF2B5EF4-FFF2-40B4-BE49-F238E27FC236}">
              <a16:creationId xmlns:a16="http://schemas.microsoft.com/office/drawing/2014/main" id="{00000000-0008-0000-0100-0000F8010000}"/>
            </a:ext>
          </a:extLst>
        </xdr:cNvPr>
        <xdr:cNvSpPr/>
      </xdr:nvSpPr>
      <xdr:spPr>
        <a:xfrm>
          <a:off x="31611094" y="27367706"/>
          <a:ext cx="464344"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40</xdr:col>
      <xdr:colOff>642936</xdr:colOff>
      <xdr:row>142</xdr:row>
      <xdr:rowOff>166692</xdr:rowOff>
    </xdr:from>
    <xdr:to>
      <xdr:col>41</xdr:col>
      <xdr:colOff>395286</xdr:colOff>
      <xdr:row>146</xdr:row>
      <xdr:rowOff>97634</xdr:rowOff>
    </xdr:to>
    <xdr:sp macro="" textlink="">
      <xdr:nvSpPr>
        <xdr:cNvPr id="505" name="Rectángulo 504">
          <a:extLst>
            <a:ext uri="{FF2B5EF4-FFF2-40B4-BE49-F238E27FC236}">
              <a16:creationId xmlns:a16="http://schemas.microsoft.com/office/drawing/2014/main" id="{00000000-0008-0000-0100-0000F9010000}"/>
            </a:ext>
          </a:extLst>
        </xdr:cNvPr>
        <xdr:cNvSpPr/>
      </xdr:nvSpPr>
      <xdr:spPr>
        <a:xfrm rot="5400000">
          <a:off x="32891016" y="27485581"/>
          <a:ext cx="692942" cy="46672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39</xdr:col>
      <xdr:colOff>428622</xdr:colOff>
      <xdr:row>142</xdr:row>
      <xdr:rowOff>166688</xdr:rowOff>
    </xdr:from>
    <xdr:to>
      <xdr:col>40</xdr:col>
      <xdr:colOff>178592</xdr:colOff>
      <xdr:row>146</xdr:row>
      <xdr:rowOff>95251</xdr:rowOff>
    </xdr:to>
    <xdr:sp macro="" textlink="">
      <xdr:nvSpPr>
        <xdr:cNvPr id="506" name="Rectángulo 505">
          <a:extLst>
            <a:ext uri="{FF2B5EF4-FFF2-40B4-BE49-F238E27FC236}">
              <a16:creationId xmlns:a16="http://schemas.microsoft.com/office/drawing/2014/main" id="{00000000-0008-0000-0100-0000FA010000}"/>
            </a:ext>
          </a:extLst>
        </xdr:cNvPr>
        <xdr:cNvSpPr/>
      </xdr:nvSpPr>
      <xdr:spPr>
        <a:xfrm rot="5400000">
          <a:off x="31962326" y="27485578"/>
          <a:ext cx="690563" cy="46434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41</xdr:col>
      <xdr:colOff>381000</xdr:colOff>
      <xdr:row>144</xdr:row>
      <xdr:rowOff>130969</xdr:rowOff>
    </xdr:from>
    <xdr:to>
      <xdr:col>43</xdr:col>
      <xdr:colOff>23812</xdr:colOff>
      <xdr:row>146</xdr:row>
      <xdr:rowOff>92870</xdr:rowOff>
    </xdr:to>
    <xdr:cxnSp macro="">
      <xdr:nvCxnSpPr>
        <xdr:cNvPr id="507" name="Conector recto 506">
          <a:extLst>
            <a:ext uri="{FF2B5EF4-FFF2-40B4-BE49-F238E27FC236}">
              <a16:creationId xmlns:a16="http://schemas.microsoft.com/office/drawing/2014/main" id="{00000000-0008-0000-0100-0000FB010000}"/>
            </a:ext>
          </a:extLst>
        </xdr:cNvPr>
        <xdr:cNvCxnSpPr/>
      </xdr:nvCxnSpPr>
      <xdr:spPr>
        <a:xfrm flipV="1">
          <a:off x="33456563" y="27717750"/>
          <a:ext cx="1071562" cy="34290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378618</xdr:colOff>
      <xdr:row>141</xdr:row>
      <xdr:rowOff>35719</xdr:rowOff>
    </xdr:from>
    <xdr:to>
      <xdr:col>43</xdr:col>
      <xdr:colOff>-1</xdr:colOff>
      <xdr:row>142</xdr:row>
      <xdr:rowOff>161926</xdr:rowOff>
    </xdr:to>
    <xdr:cxnSp macro="">
      <xdr:nvCxnSpPr>
        <xdr:cNvPr id="508" name="Conector recto 507">
          <a:extLst>
            <a:ext uri="{FF2B5EF4-FFF2-40B4-BE49-F238E27FC236}">
              <a16:creationId xmlns:a16="http://schemas.microsoft.com/office/drawing/2014/main" id="{00000000-0008-0000-0100-0000FC010000}"/>
            </a:ext>
          </a:extLst>
        </xdr:cNvPr>
        <xdr:cNvCxnSpPr/>
      </xdr:nvCxnSpPr>
      <xdr:spPr>
        <a:xfrm flipV="1">
          <a:off x="33454181" y="27051000"/>
          <a:ext cx="1050131" cy="31670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130968</xdr:colOff>
      <xdr:row>140</xdr:row>
      <xdr:rowOff>154781</xdr:rowOff>
    </xdr:from>
    <xdr:to>
      <xdr:col>42</xdr:col>
      <xdr:colOff>702468</xdr:colOff>
      <xdr:row>141</xdr:row>
      <xdr:rowOff>11906</xdr:rowOff>
    </xdr:to>
    <xdr:cxnSp macro="">
      <xdr:nvCxnSpPr>
        <xdr:cNvPr id="509" name="Conector recto 508">
          <a:extLst>
            <a:ext uri="{FF2B5EF4-FFF2-40B4-BE49-F238E27FC236}">
              <a16:creationId xmlns:a16="http://schemas.microsoft.com/office/drawing/2014/main" id="{00000000-0008-0000-0100-0000FD010000}"/>
            </a:ext>
          </a:extLst>
        </xdr:cNvPr>
        <xdr:cNvCxnSpPr/>
      </xdr:nvCxnSpPr>
      <xdr:spPr>
        <a:xfrm>
          <a:off x="28205906" y="26979562"/>
          <a:ext cx="6286500" cy="4762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297656</xdr:colOff>
      <xdr:row>141</xdr:row>
      <xdr:rowOff>166688</xdr:rowOff>
    </xdr:from>
    <xdr:to>
      <xdr:col>42</xdr:col>
      <xdr:colOff>214312</xdr:colOff>
      <xdr:row>142</xdr:row>
      <xdr:rowOff>23813</xdr:rowOff>
    </xdr:to>
    <xdr:cxnSp macro="">
      <xdr:nvCxnSpPr>
        <xdr:cNvPr id="510" name="Conector recto 509">
          <a:extLst>
            <a:ext uri="{FF2B5EF4-FFF2-40B4-BE49-F238E27FC236}">
              <a16:creationId xmlns:a16="http://schemas.microsoft.com/office/drawing/2014/main" id="{00000000-0008-0000-0100-0000FE010000}"/>
            </a:ext>
          </a:extLst>
        </xdr:cNvPr>
        <xdr:cNvCxnSpPr/>
      </xdr:nvCxnSpPr>
      <xdr:spPr>
        <a:xfrm>
          <a:off x="27658219" y="27181969"/>
          <a:ext cx="6346031" cy="4762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43</xdr:col>
      <xdr:colOff>11906</xdr:colOff>
      <xdr:row>141</xdr:row>
      <xdr:rowOff>0</xdr:rowOff>
    </xdr:from>
    <xdr:to>
      <xdr:col>43</xdr:col>
      <xdr:colOff>11906</xdr:colOff>
      <xdr:row>144</xdr:row>
      <xdr:rowOff>154781</xdr:rowOff>
    </xdr:to>
    <xdr:cxnSp macro="">
      <xdr:nvCxnSpPr>
        <xdr:cNvPr id="511" name="Conector recto 510">
          <a:extLst>
            <a:ext uri="{FF2B5EF4-FFF2-40B4-BE49-F238E27FC236}">
              <a16:creationId xmlns:a16="http://schemas.microsoft.com/office/drawing/2014/main" id="{00000000-0008-0000-0100-0000FF010000}"/>
            </a:ext>
          </a:extLst>
        </xdr:cNvPr>
        <xdr:cNvCxnSpPr/>
      </xdr:nvCxnSpPr>
      <xdr:spPr>
        <a:xfrm>
          <a:off x="34516219" y="27015281"/>
          <a:ext cx="0" cy="72628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140495</xdr:colOff>
      <xdr:row>141</xdr:row>
      <xdr:rowOff>176213</xdr:rowOff>
    </xdr:from>
    <xdr:to>
      <xdr:col>42</xdr:col>
      <xdr:colOff>140495</xdr:colOff>
      <xdr:row>145</xdr:row>
      <xdr:rowOff>140494</xdr:rowOff>
    </xdr:to>
    <xdr:cxnSp macro="">
      <xdr:nvCxnSpPr>
        <xdr:cNvPr id="512" name="Conector recto 511">
          <a:extLst>
            <a:ext uri="{FF2B5EF4-FFF2-40B4-BE49-F238E27FC236}">
              <a16:creationId xmlns:a16="http://schemas.microsoft.com/office/drawing/2014/main" id="{00000000-0008-0000-0100-000000020000}"/>
            </a:ext>
          </a:extLst>
        </xdr:cNvPr>
        <xdr:cNvCxnSpPr/>
      </xdr:nvCxnSpPr>
      <xdr:spPr>
        <a:xfrm>
          <a:off x="33930433" y="27191494"/>
          <a:ext cx="0" cy="72628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340517</xdr:colOff>
      <xdr:row>140</xdr:row>
      <xdr:rowOff>164307</xdr:rowOff>
    </xdr:from>
    <xdr:to>
      <xdr:col>34</xdr:col>
      <xdr:colOff>116680</xdr:colOff>
      <xdr:row>142</xdr:row>
      <xdr:rowOff>159544</xdr:rowOff>
    </xdr:to>
    <xdr:cxnSp macro="">
      <xdr:nvCxnSpPr>
        <xdr:cNvPr id="513" name="Conector recto 512">
          <a:extLst>
            <a:ext uri="{FF2B5EF4-FFF2-40B4-BE49-F238E27FC236}">
              <a16:creationId xmlns:a16="http://schemas.microsoft.com/office/drawing/2014/main" id="{00000000-0008-0000-0100-000001020000}"/>
            </a:ext>
          </a:extLst>
        </xdr:cNvPr>
        <xdr:cNvCxnSpPr/>
      </xdr:nvCxnSpPr>
      <xdr:spPr>
        <a:xfrm flipV="1">
          <a:off x="26986705" y="26989088"/>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523875</xdr:colOff>
      <xdr:row>140</xdr:row>
      <xdr:rowOff>166688</xdr:rowOff>
    </xdr:from>
    <xdr:to>
      <xdr:col>35</xdr:col>
      <xdr:colOff>300038</xdr:colOff>
      <xdr:row>142</xdr:row>
      <xdr:rowOff>161925</xdr:rowOff>
    </xdr:to>
    <xdr:cxnSp macro="">
      <xdr:nvCxnSpPr>
        <xdr:cNvPr id="514" name="Conector recto 513">
          <a:extLst>
            <a:ext uri="{FF2B5EF4-FFF2-40B4-BE49-F238E27FC236}">
              <a16:creationId xmlns:a16="http://schemas.microsoft.com/office/drawing/2014/main" id="{00000000-0008-0000-0100-000002020000}"/>
            </a:ext>
          </a:extLst>
        </xdr:cNvPr>
        <xdr:cNvCxnSpPr/>
      </xdr:nvCxnSpPr>
      <xdr:spPr>
        <a:xfrm flipV="1">
          <a:off x="27170063" y="22038469"/>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271464</xdr:colOff>
      <xdr:row>140</xdr:row>
      <xdr:rowOff>164307</xdr:rowOff>
    </xdr:from>
    <xdr:to>
      <xdr:col>36</xdr:col>
      <xdr:colOff>47627</xdr:colOff>
      <xdr:row>142</xdr:row>
      <xdr:rowOff>159544</xdr:rowOff>
    </xdr:to>
    <xdr:cxnSp macro="">
      <xdr:nvCxnSpPr>
        <xdr:cNvPr id="515" name="Conector recto 514">
          <a:extLst>
            <a:ext uri="{FF2B5EF4-FFF2-40B4-BE49-F238E27FC236}">
              <a16:creationId xmlns:a16="http://schemas.microsoft.com/office/drawing/2014/main" id="{00000000-0008-0000-0100-000003020000}"/>
            </a:ext>
          </a:extLst>
        </xdr:cNvPr>
        <xdr:cNvCxnSpPr/>
      </xdr:nvCxnSpPr>
      <xdr:spPr>
        <a:xfrm flipV="1">
          <a:off x="28346402" y="26989088"/>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7144</xdr:colOff>
      <xdr:row>140</xdr:row>
      <xdr:rowOff>173832</xdr:rowOff>
    </xdr:from>
    <xdr:to>
      <xdr:col>36</xdr:col>
      <xdr:colOff>497682</xdr:colOff>
      <xdr:row>142</xdr:row>
      <xdr:rowOff>169069</xdr:rowOff>
    </xdr:to>
    <xdr:cxnSp macro="">
      <xdr:nvCxnSpPr>
        <xdr:cNvPr id="516" name="Conector recto 515">
          <a:extLst>
            <a:ext uri="{FF2B5EF4-FFF2-40B4-BE49-F238E27FC236}">
              <a16:creationId xmlns:a16="http://schemas.microsoft.com/office/drawing/2014/main" id="{00000000-0008-0000-0100-000004020000}"/>
            </a:ext>
          </a:extLst>
        </xdr:cNvPr>
        <xdr:cNvCxnSpPr/>
      </xdr:nvCxnSpPr>
      <xdr:spPr>
        <a:xfrm flipV="1">
          <a:off x="28796457" y="26998613"/>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242887</xdr:colOff>
      <xdr:row>140</xdr:row>
      <xdr:rowOff>171450</xdr:rowOff>
    </xdr:from>
    <xdr:to>
      <xdr:col>38</xdr:col>
      <xdr:colOff>19050</xdr:colOff>
      <xdr:row>142</xdr:row>
      <xdr:rowOff>166687</xdr:rowOff>
    </xdr:to>
    <xdr:cxnSp macro="">
      <xdr:nvCxnSpPr>
        <xdr:cNvPr id="517" name="Conector recto 516">
          <a:extLst>
            <a:ext uri="{FF2B5EF4-FFF2-40B4-BE49-F238E27FC236}">
              <a16:creationId xmlns:a16="http://schemas.microsoft.com/office/drawing/2014/main" id="{00000000-0008-0000-0100-000005020000}"/>
            </a:ext>
          </a:extLst>
        </xdr:cNvPr>
        <xdr:cNvCxnSpPr/>
      </xdr:nvCxnSpPr>
      <xdr:spPr>
        <a:xfrm flipV="1">
          <a:off x="29746575" y="26996231"/>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2380</xdr:colOff>
      <xdr:row>140</xdr:row>
      <xdr:rowOff>157163</xdr:rowOff>
    </xdr:from>
    <xdr:to>
      <xdr:col>38</xdr:col>
      <xdr:colOff>492918</xdr:colOff>
      <xdr:row>142</xdr:row>
      <xdr:rowOff>152400</xdr:rowOff>
    </xdr:to>
    <xdr:cxnSp macro="">
      <xdr:nvCxnSpPr>
        <xdr:cNvPr id="518" name="Conector recto 517">
          <a:extLst>
            <a:ext uri="{FF2B5EF4-FFF2-40B4-BE49-F238E27FC236}">
              <a16:creationId xmlns:a16="http://schemas.microsoft.com/office/drawing/2014/main" id="{00000000-0008-0000-0100-000006020000}"/>
            </a:ext>
          </a:extLst>
        </xdr:cNvPr>
        <xdr:cNvCxnSpPr/>
      </xdr:nvCxnSpPr>
      <xdr:spPr>
        <a:xfrm flipV="1">
          <a:off x="30220443" y="26981944"/>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464340</xdr:colOff>
      <xdr:row>140</xdr:row>
      <xdr:rowOff>166688</xdr:rowOff>
    </xdr:from>
    <xdr:to>
      <xdr:col>39</xdr:col>
      <xdr:colOff>240503</xdr:colOff>
      <xdr:row>142</xdr:row>
      <xdr:rowOff>161925</xdr:rowOff>
    </xdr:to>
    <xdr:cxnSp macro="">
      <xdr:nvCxnSpPr>
        <xdr:cNvPr id="519" name="Conector recto 518">
          <a:extLst>
            <a:ext uri="{FF2B5EF4-FFF2-40B4-BE49-F238E27FC236}">
              <a16:creationId xmlns:a16="http://schemas.microsoft.com/office/drawing/2014/main" id="{00000000-0008-0000-0100-000007020000}"/>
            </a:ext>
          </a:extLst>
        </xdr:cNvPr>
        <xdr:cNvCxnSpPr/>
      </xdr:nvCxnSpPr>
      <xdr:spPr>
        <a:xfrm flipV="1">
          <a:off x="30682403" y="26991469"/>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211929</xdr:colOff>
      <xdr:row>140</xdr:row>
      <xdr:rowOff>152401</xdr:rowOff>
    </xdr:from>
    <xdr:to>
      <xdr:col>39</xdr:col>
      <xdr:colOff>702467</xdr:colOff>
      <xdr:row>142</xdr:row>
      <xdr:rowOff>147638</xdr:rowOff>
    </xdr:to>
    <xdr:cxnSp macro="">
      <xdr:nvCxnSpPr>
        <xdr:cNvPr id="520" name="Conector recto 519">
          <a:extLst>
            <a:ext uri="{FF2B5EF4-FFF2-40B4-BE49-F238E27FC236}">
              <a16:creationId xmlns:a16="http://schemas.microsoft.com/office/drawing/2014/main" id="{00000000-0008-0000-0100-000008020000}"/>
            </a:ext>
          </a:extLst>
        </xdr:cNvPr>
        <xdr:cNvCxnSpPr/>
      </xdr:nvCxnSpPr>
      <xdr:spPr>
        <a:xfrm flipV="1">
          <a:off x="31144367" y="26977182"/>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661986</xdr:colOff>
      <xdr:row>140</xdr:row>
      <xdr:rowOff>161925</xdr:rowOff>
    </xdr:from>
    <xdr:to>
      <xdr:col>40</xdr:col>
      <xdr:colOff>438149</xdr:colOff>
      <xdr:row>142</xdr:row>
      <xdr:rowOff>157162</xdr:rowOff>
    </xdr:to>
    <xdr:cxnSp macro="">
      <xdr:nvCxnSpPr>
        <xdr:cNvPr id="521" name="Conector recto 520">
          <a:extLst>
            <a:ext uri="{FF2B5EF4-FFF2-40B4-BE49-F238E27FC236}">
              <a16:creationId xmlns:a16="http://schemas.microsoft.com/office/drawing/2014/main" id="{00000000-0008-0000-0100-000009020000}"/>
            </a:ext>
          </a:extLst>
        </xdr:cNvPr>
        <xdr:cNvCxnSpPr/>
      </xdr:nvCxnSpPr>
      <xdr:spPr>
        <a:xfrm flipV="1">
          <a:off x="31594424" y="26986706"/>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171445</xdr:colOff>
      <xdr:row>140</xdr:row>
      <xdr:rowOff>154781</xdr:rowOff>
    </xdr:from>
    <xdr:to>
      <xdr:col>41</xdr:col>
      <xdr:colOff>583406</xdr:colOff>
      <xdr:row>142</xdr:row>
      <xdr:rowOff>154782</xdr:rowOff>
    </xdr:to>
    <xdr:cxnSp macro="">
      <xdr:nvCxnSpPr>
        <xdr:cNvPr id="522" name="Conector recto 521">
          <a:extLst>
            <a:ext uri="{FF2B5EF4-FFF2-40B4-BE49-F238E27FC236}">
              <a16:creationId xmlns:a16="http://schemas.microsoft.com/office/drawing/2014/main" id="{00000000-0008-0000-0100-00000A020000}"/>
            </a:ext>
          </a:extLst>
        </xdr:cNvPr>
        <xdr:cNvCxnSpPr/>
      </xdr:nvCxnSpPr>
      <xdr:spPr>
        <a:xfrm flipV="1">
          <a:off x="32532633" y="26979562"/>
          <a:ext cx="1126336" cy="38100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40</xdr:col>
      <xdr:colOff>633408</xdr:colOff>
      <xdr:row>141</xdr:row>
      <xdr:rowOff>0</xdr:rowOff>
    </xdr:from>
    <xdr:to>
      <xdr:col>42</xdr:col>
      <xdr:colOff>321468</xdr:colOff>
      <xdr:row>142</xdr:row>
      <xdr:rowOff>164307</xdr:rowOff>
    </xdr:to>
    <xdr:cxnSp macro="">
      <xdr:nvCxnSpPr>
        <xdr:cNvPr id="523" name="Conector recto 522">
          <a:extLst>
            <a:ext uri="{FF2B5EF4-FFF2-40B4-BE49-F238E27FC236}">
              <a16:creationId xmlns:a16="http://schemas.microsoft.com/office/drawing/2014/main" id="{00000000-0008-0000-0100-00000B020000}"/>
            </a:ext>
          </a:extLst>
        </xdr:cNvPr>
        <xdr:cNvCxnSpPr/>
      </xdr:nvCxnSpPr>
      <xdr:spPr>
        <a:xfrm flipV="1">
          <a:off x="32994596" y="27015281"/>
          <a:ext cx="1116810" cy="35480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211931</xdr:colOff>
      <xdr:row>142</xdr:row>
      <xdr:rowOff>166688</xdr:rowOff>
    </xdr:from>
    <xdr:to>
      <xdr:col>38</xdr:col>
      <xdr:colOff>676275</xdr:colOff>
      <xdr:row>146</xdr:row>
      <xdr:rowOff>92868</xdr:rowOff>
    </xdr:to>
    <xdr:sp macro="" textlink="">
      <xdr:nvSpPr>
        <xdr:cNvPr id="524" name="Rectángulo 523">
          <a:extLst>
            <a:ext uri="{FF2B5EF4-FFF2-40B4-BE49-F238E27FC236}">
              <a16:creationId xmlns:a16="http://schemas.microsoft.com/office/drawing/2014/main" id="{00000000-0008-0000-0100-00000C020000}"/>
            </a:ext>
          </a:extLst>
        </xdr:cNvPr>
        <xdr:cNvSpPr/>
      </xdr:nvSpPr>
      <xdr:spPr>
        <a:xfrm>
          <a:off x="31144369" y="27372469"/>
          <a:ext cx="464344" cy="688180"/>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37</xdr:col>
      <xdr:colOff>459581</xdr:colOff>
      <xdr:row>142</xdr:row>
      <xdr:rowOff>166687</xdr:rowOff>
    </xdr:from>
    <xdr:to>
      <xdr:col>38</xdr:col>
      <xdr:colOff>209550</xdr:colOff>
      <xdr:row>146</xdr:row>
      <xdr:rowOff>90486</xdr:rowOff>
    </xdr:to>
    <xdr:sp macro="" textlink="">
      <xdr:nvSpPr>
        <xdr:cNvPr id="525" name="Rectángulo 524">
          <a:extLst>
            <a:ext uri="{FF2B5EF4-FFF2-40B4-BE49-F238E27FC236}">
              <a16:creationId xmlns:a16="http://schemas.microsoft.com/office/drawing/2014/main" id="{00000000-0008-0000-0100-00000D020000}"/>
            </a:ext>
          </a:extLst>
        </xdr:cNvPr>
        <xdr:cNvSpPr/>
      </xdr:nvSpPr>
      <xdr:spPr>
        <a:xfrm>
          <a:off x="30677644" y="27372468"/>
          <a:ext cx="464344" cy="685799"/>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37</xdr:col>
      <xdr:colOff>4763</xdr:colOff>
      <xdr:row>142</xdr:row>
      <xdr:rowOff>166688</xdr:rowOff>
    </xdr:from>
    <xdr:to>
      <xdr:col>37</xdr:col>
      <xdr:colOff>469107</xdr:colOff>
      <xdr:row>146</xdr:row>
      <xdr:rowOff>100012</xdr:rowOff>
    </xdr:to>
    <xdr:sp macro="" textlink="">
      <xdr:nvSpPr>
        <xdr:cNvPr id="526" name="Rectángulo 525">
          <a:extLst>
            <a:ext uri="{FF2B5EF4-FFF2-40B4-BE49-F238E27FC236}">
              <a16:creationId xmlns:a16="http://schemas.microsoft.com/office/drawing/2014/main" id="{00000000-0008-0000-0100-00000E020000}"/>
            </a:ext>
          </a:extLst>
        </xdr:cNvPr>
        <xdr:cNvSpPr/>
      </xdr:nvSpPr>
      <xdr:spPr>
        <a:xfrm>
          <a:off x="30222826" y="27372469"/>
          <a:ext cx="464344"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36</xdr:col>
      <xdr:colOff>252412</xdr:colOff>
      <xdr:row>142</xdr:row>
      <xdr:rowOff>164306</xdr:rowOff>
    </xdr:from>
    <xdr:to>
      <xdr:col>37</xdr:col>
      <xdr:colOff>2381</xdr:colOff>
      <xdr:row>146</xdr:row>
      <xdr:rowOff>97630</xdr:rowOff>
    </xdr:to>
    <xdr:sp macro="" textlink="">
      <xdr:nvSpPr>
        <xdr:cNvPr id="527" name="Rectángulo 526">
          <a:extLst>
            <a:ext uri="{FF2B5EF4-FFF2-40B4-BE49-F238E27FC236}">
              <a16:creationId xmlns:a16="http://schemas.microsoft.com/office/drawing/2014/main" id="{00000000-0008-0000-0100-00000F020000}"/>
            </a:ext>
          </a:extLst>
        </xdr:cNvPr>
        <xdr:cNvSpPr/>
      </xdr:nvSpPr>
      <xdr:spPr>
        <a:xfrm>
          <a:off x="29756100" y="27370087"/>
          <a:ext cx="464344"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35</xdr:col>
      <xdr:colOff>500062</xdr:colOff>
      <xdr:row>142</xdr:row>
      <xdr:rowOff>161925</xdr:rowOff>
    </xdr:from>
    <xdr:to>
      <xdr:col>36</xdr:col>
      <xdr:colOff>250031</xdr:colOff>
      <xdr:row>146</xdr:row>
      <xdr:rowOff>95249</xdr:rowOff>
    </xdr:to>
    <xdr:sp macro="" textlink="">
      <xdr:nvSpPr>
        <xdr:cNvPr id="528" name="Rectángulo 527">
          <a:extLst>
            <a:ext uri="{FF2B5EF4-FFF2-40B4-BE49-F238E27FC236}">
              <a16:creationId xmlns:a16="http://schemas.microsoft.com/office/drawing/2014/main" id="{00000000-0008-0000-0100-000010020000}"/>
            </a:ext>
          </a:extLst>
        </xdr:cNvPr>
        <xdr:cNvSpPr/>
      </xdr:nvSpPr>
      <xdr:spPr>
        <a:xfrm>
          <a:off x="29289375" y="27367706"/>
          <a:ext cx="464344"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35</xdr:col>
      <xdr:colOff>33337</xdr:colOff>
      <xdr:row>142</xdr:row>
      <xdr:rowOff>166688</xdr:rowOff>
    </xdr:from>
    <xdr:to>
      <xdr:col>35</xdr:col>
      <xdr:colOff>497681</xdr:colOff>
      <xdr:row>146</xdr:row>
      <xdr:rowOff>95250</xdr:rowOff>
    </xdr:to>
    <xdr:sp macro="" textlink="">
      <xdr:nvSpPr>
        <xdr:cNvPr id="529" name="Rectángulo 528">
          <a:extLst>
            <a:ext uri="{FF2B5EF4-FFF2-40B4-BE49-F238E27FC236}">
              <a16:creationId xmlns:a16="http://schemas.microsoft.com/office/drawing/2014/main" id="{00000000-0008-0000-0100-000011020000}"/>
            </a:ext>
          </a:extLst>
        </xdr:cNvPr>
        <xdr:cNvSpPr/>
      </xdr:nvSpPr>
      <xdr:spPr>
        <a:xfrm>
          <a:off x="28822650" y="27372469"/>
          <a:ext cx="464344" cy="690562"/>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34</xdr:col>
      <xdr:colOff>280987</xdr:colOff>
      <xdr:row>142</xdr:row>
      <xdr:rowOff>166689</xdr:rowOff>
    </xdr:from>
    <xdr:to>
      <xdr:col>35</xdr:col>
      <xdr:colOff>30956</xdr:colOff>
      <xdr:row>146</xdr:row>
      <xdr:rowOff>90487</xdr:rowOff>
    </xdr:to>
    <xdr:sp macro="" textlink="">
      <xdr:nvSpPr>
        <xdr:cNvPr id="530" name="Rectángulo 529">
          <a:extLst>
            <a:ext uri="{FF2B5EF4-FFF2-40B4-BE49-F238E27FC236}">
              <a16:creationId xmlns:a16="http://schemas.microsoft.com/office/drawing/2014/main" id="{00000000-0008-0000-0100-000012020000}"/>
            </a:ext>
          </a:extLst>
        </xdr:cNvPr>
        <xdr:cNvSpPr/>
      </xdr:nvSpPr>
      <xdr:spPr>
        <a:xfrm>
          <a:off x="28355925" y="27372470"/>
          <a:ext cx="464344" cy="68579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33</xdr:col>
      <xdr:colOff>540543</xdr:colOff>
      <xdr:row>142</xdr:row>
      <xdr:rowOff>166688</xdr:rowOff>
    </xdr:from>
    <xdr:to>
      <xdr:col>34</xdr:col>
      <xdr:colOff>290512</xdr:colOff>
      <xdr:row>146</xdr:row>
      <xdr:rowOff>100012</xdr:rowOff>
    </xdr:to>
    <xdr:sp macro="" textlink="">
      <xdr:nvSpPr>
        <xdr:cNvPr id="531" name="Rectángulo 530">
          <a:extLst>
            <a:ext uri="{FF2B5EF4-FFF2-40B4-BE49-F238E27FC236}">
              <a16:creationId xmlns:a16="http://schemas.microsoft.com/office/drawing/2014/main" id="{00000000-0008-0000-0100-000013020000}"/>
            </a:ext>
          </a:extLst>
        </xdr:cNvPr>
        <xdr:cNvSpPr/>
      </xdr:nvSpPr>
      <xdr:spPr>
        <a:xfrm>
          <a:off x="27901106" y="27372469"/>
          <a:ext cx="464344" cy="695324"/>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39</xdr:col>
      <xdr:colOff>431001</xdr:colOff>
      <xdr:row>140</xdr:row>
      <xdr:rowOff>169069</xdr:rowOff>
    </xdr:from>
    <xdr:to>
      <xdr:col>41</xdr:col>
      <xdr:colOff>207164</xdr:colOff>
      <xdr:row>142</xdr:row>
      <xdr:rowOff>164306</xdr:rowOff>
    </xdr:to>
    <xdr:cxnSp macro="">
      <xdr:nvCxnSpPr>
        <xdr:cNvPr id="532" name="Conector recto 531">
          <a:extLst>
            <a:ext uri="{FF2B5EF4-FFF2-40B4-BE49-F238E27FC236}">
              <a16:creationId xmlns:a16="http://schemas.microsoft.com/office/drawing/2014/main" id="{00000000-0008-0000-0100-000014020000}"/>
            </a:ext>
          </a:extLst>
        </xdr:cNvPr>
        <xdr:cNvCxnSpPr/>
      </xdr:nvCxnSpPr>
      <xdr:spPr>
        <a:xfrm flipV="1">
          <a:off x="32077814" y="26993850"/>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528638</xdr:colOff>
      <xdr:row>140</xdr:row>
      <xdr:rowOff>159545</xdr:rowOff>
    </xdr:from>
    <xdr:to>
      <xdr:col>37</xdr:col>
      <xdr:colOff>304801</xdr:colOff>
      <xdr:row>142</xdr:row>
      <xdr:rowOff>154782</xdr:rowOff>
    </xdr:to>
    <xdr:cxnSp macro="">
      <xdr:nvCxnSpPr>
        <xdr:cNvPr id="533" name="Conector recto 532">
          <a:extLst>
            <a:ext uri="{FF2B5EF4-FFF2-40B4-BE49-F238E27FC236}">
              <a16:creationId xmlns:a16="http://schemas.microsoft.com/office/drawing/2014/main" id="{00000000-0008-0000-0100-000015020000}"/>
            </a:ext>
          </a:extLst>
        </xdr:cNvPr>
        <xdr:cNvCxnSpPr/>
      </xdr:nvCxnSpPr>
      <xdr:spPr>
        <a:xfrm flipV="1">
          <a:off x="29317951" y="26984326"/>
          <a:ext cx="1204913" cy="37623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59531</xdr:colOff>
      <xdr:row>141</xdr:row>
      <xdr:rowOff>166688</xdr:rowOff>
    </xdr:from>
    <xdr:to>
      <xdr:col>33</xdr:col>
      <xdr:colOff>559593</xdr:colOff>
      <xdr:row>142</xdr:row>
      <xdr:rowOff>161926</xdr:rowOff>
    </xdr:to>
    <xdr:cxnSp macro="">
      <xdr:nvCxnSpPr>
        <xdr:cNvPr id="535" name="Conector recto 534">
          <a:extLst>
            <a:ext uri="{FF2B5EF4-FFF2-40B4-BE49-F238E27FC236}">
              <a16:creationId xmlns:a16="http://schemas.microsoft.com/office/drawing/2014/main" id="{00000000-0008-0000-0100-000017020000}"/>
            </a:ext>
          </a:extLst>
        </xdr:cNvPr>
        <xdr:cNvCxnSpPr/>
      </xdr:nvCxnSpPr>
      <xdr:spPr>
        <a:xfrm flipV="1">
          <a:off x="27420094" y="27181969"/>
          <a:ext cx="500062" cy="185738"/>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24</xdr:col>
      <xdr:colOff>111331</xdr:colOff>
      <xdr:row>13</xdr:row>
      <xdr:rowOff>136071</xdr:rowOff>
    </xdr:from>
    <xdr:to>
      <xdr:col>24</xdr:col>
      <xdr:colOff>115455</xdr:colOff>
      <xdr:row>18</xdr:row>
      <xdr:rowOff>28864</xdr:rowOff>
    </xdr:to>
    <xdr:cxnSp macro="">
      <xdr:nvCxnSpPr>
        <xdr:cNvPr id="69" name="Conector recto 68">
          <a:extLst>
            <a:ext uri="{FF2B5EF4-FFF2-40B4-BE49-F238E27FC236}">
              <a16:creationId xmlns:a16="http://schemas.microsoft.com/office/drawing/2014/main" id="{00000000-0008-0000-0200-000045000000}"/>
            </a:ext>
          </a:extLst>
        </xdr:cNvPr>
        <xdr:cNvCxnSpPr/>
      </xdr:nvCxnSpPr>
      <xdr:spPr>
        <a:xfrm>
          <a:off x="22835260" y="2758539"/>
          <a:ext cx="4124" cy="820552"/>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222597</xdr:colOff>
      <xdr:row>17</xdr:row>
      <xdr:rowOff>24741</xdr:rowOff>
    </xdr:from>
    <xdr:to>
      <xdr:col>20</xdr:col>
      <xdr:colOff>222663</xdr:colOff>
      <xdr:row>20</xdr:row>
      <xdr:rowOff>179367</xdr:rowOff>
    </xdr:to>
    <xdr:cxnSp macro="">
      <xdr:nvCxnSpPr>
        <xdr:cNvPr id="70" name="Conector recto 69">
          <a:extLst>
            <a:ext uri="{FF2B5EF4-FFF2-40B4-BE49-F238E27FC236}">
              <a16:creationId xmlns:a16="http://schemas.microsoft.com/office/drawing/2014/main" id="{00000000-0008-0000-0200-000046000000}"/>
            </a:ext>
          </a:extLst>
        </xdr:cNvPr>
        <xdr:cNvCxnSpPr/>
      </xdr:nvCxnSpPr>
      <xdr:spPr>
        <a:xfrm flipH="1">
          <a:off x="19878733" y="3389416"/>
          <a:ext cx="66" cy="711282"/>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49477</xdr:colOff>
      <xdr:row>17</xdr:row>
      <xdr:rowOff>12370</xdr:rowOff>
    </xdr:from>
    <xdr:to>
      <xdr:col>19</xdr:col>
      <xdr:colOff>49477</xdr:colOff>
      <xdr:row>21</xdr:row>
      <xdr:rowOff>37111</xdr:rowOff>
    </xdr:to>
    <xdr:cxnSp macro="">
      <xdr:nvCxnSpPr>
        <xdr:cNvPr id="71" name="Conector recto 70">
          <a:extLst>
            <a:ext uri="{FF2B5EF4-FFF2-40B4-BE49-F238E27FC236}">
              <a16:creationId xmlns:a16="http://schemas.microsoft.com/office/drawing/2014/main" id="{00000000-0008-0000-0200-000047000000}"/>
            </a:ext>
          </a:extLst>
        </xdr:cNvPr>
        <xdr:cNvCxnSpPr/>
      </xdr:nvCxnSpPr>
      <xdr:spPr>
        <a:xfrm>
          <a:off x="18938665" y="3377045"/>
          <a:ext cx="0" cy="766949"/>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144318</xdr:colOff>
      <xdr:row>15</xdr:row>
      <xdr:rowOff>123702</xdr:rowOff>
    </xdr:from>
    <xdr:to>
      <xdr:col>23</xdr:col>
      <xdr:colOff>148441</xdr:colOff>
      <xdr:row>20</xdr:row>
      <xdr:rowOff>14432</xdr:rowOff>
    </xdr:to>
    <xdr:cxnSp macro="">
      <xdr:nvCxnSpPr>
        <xdr:cNvPr id="72" name="Conector recto 71">
          <a:extLst>
            <a:ext uri="{FF2B5EF4-FFF2-40B4-BE49-F238E27FC236}">
              <a16:creationId xmlns:a16="http://schemas.microsoft.com/office/drawing/2014/main" id="{00000000-0008-0000-0200-000048000000}"/>
            </a:ext>
          </a:extLst>
        </xdr:cNvPr>
        <xdr:cNvCxnSpPr/>
      </xdr:nvCxnSpPr>
      <xdr:spPr>
        <a:xfrm flipH="1">
          <a:off x="22101299" y="3117273"/>
          <a:ext cx="4123" cy="81849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645309</xdr:colOff>
      <xdr:row>13</xdr:row>
      <xdr:rowOff>129885</xdr:rowOff>
    </xdr:from>
    <xdr:to>
      <xdr:col>24</xdr:col>
      <xdr:colOff>226785</xdr:colOff>
      <xdr:row>22</xdr:row>
      <xdr:rowOff>24738</xdr:rowOff>
    </xdr:to>
    <xdr:grpSp>
      <xdr:nvGrpSpPr>
        <xdr:cNvPr id="73" name="Grupo 72">
          <a:extLst>
            <a:ext uri="{FF2B5EF4-FFF2-40B4-BE49-F238E27FC236}">
              <a16:creationId xmlns:a16="http://schemas.microsoft.com/office/drawing/2014/main" id="{00000000-0008-0000-0200-000049000000}"/>
            </a:ext>
          </a:extLst>
        </xdr:cNvPr>
        <xdr:cNvGrpSpPr/>
      </xdr:nvGrpSpPr>
      <xdr:grpSpPr>
        <a:xfrm>
          <a:off x="20177744" y="2566801"/>
          <a:ext cx="4950112" cy="1564820"/>
          <a:chOff x="18371705" y="1916546"/>
          <a:chExt cx="4632613" cy="1460499"/>
        </a:xfrm>
      </xdr:grpSpPr>
      <xdr:cxnSp macro="">
        <xdr:nvCxnSpPr>
          <xdr:cNvPr id="75" name="Conector recto 74">
            <a:extLst>
              <a:ext uri="{FF2B5EF4-FFF2-40B4-BE49-F238E27FC236}">
                <a16:creationId xmlns:a16="http://schemas.microsoft.com/office/drawing/2014/main" id="{00000000-0008-0000-0200-00004B000000}"/>
              </a:ext>
            </a:extLst>
          </xdr:cNvPr>
          <xdr:cNvCxnSpPr/>
        </xdr:nvCxnSpPr>
        <xdr:spPr>
          <a:xfrm>
            <a:off x="18371705" y="3218295"/>
            <a:ext cx="1" cy="15875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nvGrpSpPr>
          <xdr:cNvPr id="76" name="Grupo 75">
            <a:extLst>
              <a:ext uri="{FF2B5EF4-FFF2-40B4-BE49-F238E27FC236}">
                <a16:creationId xmlns:a16="http://schemas.microsoft.com/office/drawing/2014/main" id="{00000000-0008-0000-0200-00004C000000}"/>
              </a:ext>
            </a:extLst>
          </xdr:cNvPr>
          <xdr:cNvGrpSpPr/>
        </xdr:nvGrpSpPr>
        <xdr:grpSpPr>
          <a:xfrm>
            <a:off x="18371705" y="1916546"/>
            <a:ext cx="4632613" cy="1460499"/>
            <a:chOff x="18371705" y="1916546"/>
            <a:chExt cx="4632613" cy="1460499"/>
          </a:xfrm>
        </xdr:grpSpPr>
        <xdr:sp macro="" textlink="">
          <xdr:nvSpPr>
            <xdr:cNvPr id="77" name="Rectángulo 76">
              <a:extLst>
                <a:ext uri="{FF2B5EF4-FFF2-40B4-BE49-F238E27FC236}">
                  <a16:creationId xmlns:a16="http://schemas.microsoft.com/office/drawing/2014/main" id="{00000000-0008-0000-0200-00004D000000}"/>
                </a:ext>
              </a:extLst>
            </xdr:cNvPr>
            <xdr:cNvSpPr/>
          </xdr:nvSpPr>
          <xdr:spPr>
            <a:xfrm>
              <a:off x="18443862" y="2488045"/>
              <a:ext cx="3463637" cy="686955"/>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xnSp macro="">
          <xdr:nvCxnSpPr>
            <xdr:cNvPr id="78" name="Conector recto 77">
              <a:extLst>
                <a:ext uri="{FF2B5EF4-FFF2-40B4-BE49-F238E27FC236}">
                  <a16:creationId xmlns:a16="http://schemas.microsoft.com/office/drawing/2014/main" id="{00000000-0008-0000-0200-00004E000000}"/>
                </a:ext>
              </a:extLst>
            </xdr:cNvPr>
            <xdr:cNvCxnSpPr/>
          </xdr:nvCxnSpPr>
          <xdr:spPr>
            <a:xfrm flipH="1">
              <a:off x="19454092" y="1916546"/>
              <a:ext cx="346363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1" name="Conector recto 80">
              <a:extLst>
                <a:ext uri="{FF2B5EF4-FFF2-40B4-BE49-F238E27FC236}">
                  <a16:creationId xmlns:a16="http://schemas.microsoft.com/office/drawing/2014/main" id="{00000000-0008-0000-0200-000051000000}"/>
                </a:ext>
              </a:extLst>
            </xdr:cNvPr>
            <xdr:cNvCxnSpPr/>
          </xdr:nvCxnSpPr>
          <xdr:spPr>
            <a:xfrm>
              <a:off x="18460026" y="2660072"/>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2" name="Conector recto 81">
              <a:extLst>
                <a:ext uri="{FF2B5EF4-FFF2-40B4-BE49-F238E27FC236}">
                  <a16:creationId xmlns:a16="http://schemas.microsoft.com/office/drawing/2014/main" id="{00000000-0008-0000-0200-000052000000}"/>
                </a:ext>
              </a:extLst>
            </xdr:cNvPr>
            <xdr:cNvCxnSpPr/>
          </xdr:nvCxnSpPr>
          <xdr:spPr>
            <a:xfrm>
              <a:off x="18424812" y="2968336"/>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3" name="Conector recto 82">
              <a:extLst>
                <a:ext uri="{FF2B5EF4-FFF2-40B4-BE49-F238E27FC236}">
                  <a16:creationId xmlns:a16="http://schemas.microsoft.com/office/drawing/2014/main" id="{00000000-0008-0000-0200-000053000000}"/>
                </a:ext>
              </a:extLst>
            </xdr:cNvPr>
            <xdr:cNvCxnSpPr/>
          </xdr:nvCxnSpPr>
          <xdr:spPr>
            <a:xfrm>
              <a:off x="18447327" y="2817668"/>
              <a:ext cx="3463637"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7" name="Conector recto 86">
              <a:extLst>
                <a:ext uri="{FF2B5EF4-FFF2-40B4-BE49-F238E27FC236}">
                  <a16:creationId xmlns:a16="http://schemas.microsoft.com/office/drawing/2014/main" id="{00000000-0008-0000-0200-000057000000}"/>
                </a:ext>
              </a:extLst>
            </xdr:cNvPr>
            <xdr:cNvCxnSpPr/>
          </xdr:nvCxnSpPr>
          <xdr:spPr>
            <a:xfrm flipH="1">
              <a:off x="21020810" y="2488045"/>
              <a:ext cx="32" cy="66617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8" name="Conector recto 87">
              <a:extLst>
                <a:ext uri="{FF2B5EF4-FFF2-40B4-BE49-F238E27FC236}">
                  <a16:creationId xmlns:a16="http://schemas.microsoft.com/office/drawing/2014/main" id="{00000000-0008-0000-0200-000058000000}"/>
                </a:ext>
              </a:extLst>
            </xdr:cNvPr>
            <xdr:cNvCxnSpPr/>
          </xdr:nvCxnSpPr>
          <xdr:spPr>
            <a:xfrm flipH="1">
              <a:off x="18772784" y="2265796"/>
              <a:ext cx="344920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89" name="Conector recto 88">
              <a:extLst>
                <a:ext uri="{FF2B5EF4-FFF2-40B4-BE49-F238E27FC236}">
                  <a16:creationId xmlns:a16="http://schemas.microsoft.com/office/drawing/2014/main" id="{00000000-0008-0000-0200-000059000000}"/>
                </a:ext>
              </a:extLst>
            </xdr:cNvPr>
            <xdr:cNvCxnSpPr/>
          </xdr:nvCxnSpPr>
          <xdr:spPr>
            <a:xfrm flipH="1">
              <a:off x="19150383" y="2103582"/>
              <a:ext cx="344920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0" name="Conector recto 89">
              <a:extLst>
                <a:ext uri="{FF2B5EF4-FFF2-40B4-BE49-F238E27FC236}">
                  <a16:creationId xmlns:a16="http://schemas.microsoft.com/office/drawing/2014/main" id="{00000000-0008-0000-0200-00005A000000}"/>
                </a:ext>
              </a:extLst>
            </xdr:cNvPr>
            <xdr:cNvCxnSpPr/>
          </xdr:nvCxnSpPr>
          <xdr:spPr>
            <a:xfrm flipV="1">
              <a:off x="21923662" y="2605810"/>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1" name="Conector recto 90">
              <a:extLst>
                <a:ext uri="{FF2B5EF4-FFF2-40B4-BE49-F238E27FC236}">
                  <a16:creationId xmlns:a16="http://schemas.microsoft.com/office/drawing/2014/main" id="{00000000-0008-0000-0200-00005B000000}"/>
                </a:ext>
              </a:extLst>
            </xdr:cNvPr>
            <xdr:cNvCxnSpPr/>
          </xdr:nvCxnSpPr>
          <xdr:spPr>
            <a:xfrm flipH="1">
              <a:off x="22593878" y="2107045"/>
              <a:ext cx="1396" cy="74410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2" name="Conector recto 91">
              <a:extLst>
                <a:ext uri="{FF2B5EF4-FFF2-40B4-BE49-F238E27FC236}">
                  <a16:creationId xmlns:a16="http://schemas.microsoft.com/office/drawing/2014/main" id="{00000000-0008-0000-0200-00005C000000}"/>
                </a:ext>
              </a:extLst>
            </xdr:cNvPr>
            <xdr:cNvCxnSpPr/>
          </xdr:nvCxnSpPr>
          <xdr:spPr>
            <a:xfrm flipV="1">
              <a:off x="19249035" y="1919431"/>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3" name="Conector recto 92">
              <a:extLst>
                <a:ext uri="{FF2B5EF4-FFF2-40B4-BE49-F238E27FC236}">
                  <a16:creationId xmlns:a16="http://schemas.microsoft.com/office/drawing/2014/main" id="{00000000-0008-0000-0200-00005D000000}"/>
                </a:ext>
              </a:extLst>
            </xdr:cNvPr>
            <xdr:cNvCxnSpPr/>
          </xdr:nvCxnSpPr>
          <xdr:spPr>
            <a:xfrm flipV="1">
              <a:off x="20126037" y="1924628"/>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94" name="Conector recto 93">
              <a:extLst>
                <a:ext uri="{FF2B5EF4-FFF2-40B4-BE49-F238E27FC236}">
                  <a16:creationId xmlns:a16="http://schemas.microsoft.com/office/drawing/2014/main" id="{00000000-0008-0000-0200-00005E000000}"/>
                </a:ext>
              </a:extLst>
            </xdr:cNvPr>
            <xdr:cNvCxnSpPr/>
          </xdr:nvCxnSpPr>
          <xdr:spPr>
            <a:xfrm flipV="1">
              <a:off x="21028892" y="1918276"/>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00" name="Conector recto 99">
              <a:extLst>
                <a:ext uri="{FF2B5EF4-FFF2-40B4-BE49-F238E27FC236}">
                  <a16:creationId xmlns:a16="http://schemas.microsoft.com/office/drawing/2014/main" id="{00000000-0008-0000-0200-000064000000}"/>
                </a:ext>
              </a:extLst>
            </xdr:cNvPr>
            <xdr:cNvCxnSpPr/>
          </xdr:nvCxnSpPr>
          <xdr:spPr>
            <a:xfrm flipV="1">
              <a:off x="21890183" y="2107045"/>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01" name="Conector recto 100">
              <a:extLst>
                <a:ext uri="{FF2B5EF4-FFF2-40B4-BE49-F238E27FC236}">
                  <a16:creationId xmlns:a16="http://schemas.microsoft.com/office/drawing/2014/main" id="{00000000-0008-0000-0200-000065000000}"/>
                </a:ext>
              </a:extLst>
            </xdr:cNvPr>
            <xdr:cNvCxnSpPr/>
          </xdr:nvCxnSpPr>
          <xdr:spPr>
            <a:xfrm flipV="1">
              <a:off x="21927128" y="2256559"/>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02" name="Conector recto 101">
              <a:extLst>
                <a:ext uri="{FF2B5EF4-FFF2-40B4-BE49-F238E27FC236}">
                  <a16:creationId xmlns:a16="http://schemas.microsoft.com/office/drawing/2014/main" id="{00000000-0008-0000-0200-000066000000}"/>
                </a:ext>
              </a:extLst>
            </xdr:cNvPr>
            <xdr:cNvCxnSpPr/>
          </xdr:nvCxnSpPr>
          <xdr:spPr>
            <a:xfrm flipV="1">
              <a:off x="21891914" y="2437822"/>
              <a:ext cx="1016578" cy="55649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03" name="Conector recto 102">
              <a:extLst>
                <a:ext uri="{FF2B5EF4-FFF2-40B4-BE49-F238E27FC236}">
                  <a16:creationId xmlns:a16="http://schemas.microsoft.com/office/drawing/2014/main" id="{00000000-0008-0000-0200-000067000000}"/>
                </a:ext>
              </a:extLst>
            </xdr:cNvPr>
            <xdr:cNvCxnSpPr/>
          </xdr:nvCxnSpPr>
          <xdr:spPr>
            <a:xfrm>
              <a:off x="18386136" y="3377045"/>
              <a:ext cx="3564659"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04" name="Conector recto 103">
              <a:extLst>
                <a:ext uri="{FF2B5EF4-FFF2-40B4-BE49-F238E27FC236}">
                  <a16:creationId xmlns:a16="http://schemas.microsoft.com/office/drawing/2014/main" id="{00000000-0008-0000-0200-000068000000}"/>
                </a:ext>
              </a:extLst>
            </xdr:cNvPr>
            <xdr:cNvCxnSpPr/>
          </xdr:nvCxnSpPr>
          <xdr:spPr>
            <a:xfrm flipV="1">
              <a:off x="18371705" y="3160568"/>
              <a:ext cx="72159" cy="5772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05" name="Conector recto 104">
              <a:extLst>
                <a:ext uri="{FF2B5EF4-FFF2-40B4-BE49-F238E27FC236}">
                  <a16:creationId xmlns:a16="http://schemas.microsoft.com/office/drawing/2014/main" id="{00000000-0008-0000-0200-000069000000}"/>
                </a:ext>
              </a:extLst>
            </xdr:cNvPr>
            <xdr:cNvCxnSpPr/>
          </xdr:nvCxnSpPr>
          <xdr:spPr>
            <a:xfrm flipV="1">
              <a:off x="21965227" y="2814205"/>
              <a:ext cx="1039091" cy="56284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06" name="Conector recto 105">
              <a:extLst>
                <a:ext uri="{FF2B5EF4-FFF2-40B4-BE49-F238E27FC236}">
                  <a16:creationId xmlns:a16="http://schemas.microsoft.com/office/drawing/2014/main" id="{00000000-0008-0000-0200-00006A000000}"/>
                </a:ext>
              </a:extLst>
            </xdr:cNvPr>
            <xdr:cNvCxnSpPr/>
          </xdr:nvCxnSpPr>
          <xdr:spPr>
            <a:xfrm>
              <a:off x="22983533" y="2649106"/>
              <a:ext cx="1" cy="15875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07" name="Conector recto 106">
              <a:extLst>
                <a:ext uri="{FF2B5EF4-FFF2-40B4-BE49-F238E27FC236}">
                  <a16:creationId xmlns:a16="http://schemas.microsoft.com/office/drawing/2014/main" id="{00000000-0008-0000-0200-00006B000000}"/>
                </a:ext>
              </a:extLst>
            </xdr:cNvPr>
            <xdr:cNvCxnSpPr/>
          </xdr:nvCxnSpPr>
          <xdr:spPr>
            <a:xfrm>
              <a:off x="22888864" y="2525568"/>
              <a:ext cx="101022" cy="11545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18</xdr:col>
      <xdr:colOff>-1</xdr:colOff>
      <xdr:row>27</xdr:row>
      <xdr:rowOff>-1</xdr:rowOff>
    </xdr:from>
    <xdr:to>
      <xdr:col>21</xdr:col>
      <xdr:colOff>476250</xdr:colOff>
      <xdr:row>33</xdr:row>
      <xdr:rowOff>35717</xdr:rowOff>
    </xdr:to>
    <xdr:sp macro="" textlink="">
      <xdr:nvSpPr>
        <xdr:cNvPr id="108" name="Rectángulo 107">
          <a:extLst>
            <a:ext uri="{FF2B5EF4-FFF2-40B4-BE49-F238E27FC236}">
              <a16:creationId xmlns:a16="http://schemas.microsoft.com/office/drawing/2014/main" id="{00000000-0008-0000-0200-00006C000000}"/>
            </a:ext>
          </a:extLst>
        </xdr:cNvPr>
        <xdr:cNvSpPr/>
      </xdr:nvSpPr>
      <xdr:spPr>
        <a:xfrm>
          <a:off x="18802349" y="12934949"/>
          <a:ext cx="2619376" cy="117871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18</xdr:col>
      <xdr:colOff>0</xdr:colOff>
      <xdr:row>30</xdr:row>
      <xdr:rowOff>23813</xdr:rowOff>
    </xdr:from>
    <xdr:to>
      <xdr:col>18</xdr:col>
      <xdr:colOff>523875</xdr:colOff>
      <xdr:row>33</xdr:row>
      <xdr:rowOff>35719</xdr:rowOff>
    </xdr:to>
    <xdr:sp macro="" textlink="">
      <xdr:nvSpPr>
        <xdr:cNvPr id="109" name="Rectángulo 108">
          <a:extLst>
            <a:ext uri="{FF2B5EF4-FFF2-40B4-BE49-F238E27FC236}">
              <a16:creationId xmlns:a16="http://schemas.microsoft.com/office/drawing/2014/main" id="{00000000-0008-0000-0200-00006D000000}"/>
            </a:ext>
          </a:extLst>
        </xdr:cNvPr>
        <xdr:cNvSpPr/>
      </xdr:nvSpPr>
      <xdr:spPr>
        <a:xfrm>
          <a:off x="18802350" y="13530263"/>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17</xdr:col>
      <xdr:colOff>285749</xdr:colOff>
      <xdr:row>41</xdr:row>
      <xdr:rowOff>0</xdr:rowOff>
    </xdr:from>
    <xdr:to>
      <xdr:col>21</xdr:col>
      <xdr:colOff>59531</xdr:colOff>
      <xdr:row>43</xdr:row>
      <xdr:rowOff>130968</xdr:rowOff>
    </xdr:to>
    <xdr:sp macro="" textlink="">
      <xdr:nvSpPr>
        <xdr:cNvPr id="110" name="Rectángulo 109">
          <a:extLst>
            <a:ext uri="{FF2B5EF4-FFF2-40B4-BE49-F238E27FC236}">
              <a16:creationId xmlns:a16="http://schemas.microsoft.com/office/drawing/2014/main" id="{00000000-0008-0000-0200-00006E000000}"/>
            </a:ext>
          </a:extLst>
        </xdr:cNvPr>
        <xdr:cNvSpPr/>
      </xdr:nvSpPr>
      <xdr:spPr>
        <a:xfrm>
          <a:off x="23374349" y="13315950"/>
          <a:ext cx="2631282" cy="511968"/>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18</xdr:col>
      <xdr:colOff>3575</xdr:colOff>
      <xdr:row>27</xdr:row>
      <xdr:rowOff>3576</xdr:rowOff>
    </xdr:from>
    <xdr:to>
      <xdr:col>18</xdr:col>
      <xdr:colOff>586981</xdr:colOff>
      <xdr:row>29</xdr:row>
      <xdr:rowOff>146451</xdr:rowOff>
    </xdr:to>
    <xdr:sp macro="" textlink="">
      <xdr:nvSpPr>
        <xdr:cNvPr id="111" name="Rectángulo 110">
          <a:extLst>
            <a:ext uri="{FF2B5EF4-FFF2-40B4-BE49-F238E27FC236}">
              <a16:creationId xmlns:a16="http://schemas.microsoft.com/office/drawing/2014/main" id="{00000000-0008-0000-0200-00006F000000}"/>
            </a:ext>
          </a:extLst>
        </xdr:cNvPr>
        <xdr:cNvSpPr/>
      </xdr:nvSpPr>
      <xdr:spPr>
        <a:xfrm rot="5400000">
          <a:off x="18835690" y="12908761"/>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18</xdr:col>
      <xdr:colOff>521494</xdr:colOff>
      <xdr:row>30</xdr:row>
      <xdr:rowOff>21432</xdr:rowOff>
    </xdr:from>
    <xdr:to>
      <xdr:col>19</xdr:col>
      <xdr:colOff>330994</xdr:colOff>
      <xdr:row>33</xdr:row>
      <xdr:rowOff>33338</xdr:rowOff>
    </xdr:to>
    <xdr:sp macro="" textlink="">
      <xdr:nvSpPr>
        <xdr:cNvPr id="112" name="Rectángulo 111">
          <a:extLst>
            <a:ext uri="{FF2B5EF4-FFF2-40B4-BE49-F238E27FC236}">
              <a16:creationId xmlns:a16="http://schemas.microsoft.com/office/drawing/2014/main" id="{00000000-0008-0000-0200-000070000000}"/>
            </a:ext>
          </a:extLst>
        </xdr:cNvPr>
        <xdr:cNvSpPr/>
      </xdr:nvSpPr>
      <xdr:spPr>
        <a:xfrm>
          <a:off x="19323844" y="13527882"/>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19</xdr:col>
      <xdr:colOff>328613</xdr:colOff>
      <xdr:row>30</xdr:row>
      <xdr:rowOff>19050</xdr:rowOff>
    </xdr:from>
    <xdr:to>
      <xdr:col>20</xdr:col>
      <xdr:colOff>138113</xdr:colOff>
      <xdr:row>33</xdr:row>
      <xdr:rowOff>30956</xdr:rowOff>
    </xdr:to>
    <xdr:sp macro="" textlink="">
      <xdr:nvSpPr>
        <xdr:cNvPr id="113" name="Rectángulo 112">
          <a:extLst>
            <a:ext uri="{FF2B5EF4-FFF2-40B4-BE49-F238E27FC236}">
              <a16:creationId xmlns:a16="http://schemas.microsoft.com/office/drawing/2014/main" id="{00000000-0008-0000-0200-000071000000}"/>
            </a:ext>
          </a:extLst>
        </xdr:cNvPr>
        <xdr:cNvSpPr/>
      </xdr:nvSpPr>
      <xdr:spPr>
        <a:xfrm>
          <a:off x="19845338" y="13525500"/>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20</xdr:col>
      <xdr:colOff>147638</xdr:colOff>
      <xdr:row>30</xdr:row>
      <xdr:rowOff>28576</xdr:rowOff>
    </xdr:from>
    <xdr:to>
      <xdr:col>20</xdr:col>
      <xdr:colOff>671513</xdr:colOff>
      <xdr:row>33</xdr:row>
      <xdr:rowOff>40482</xdr:rowOff>
    </xdr:to>
    <xdr:sp macro="" textlink="">
      <xdr:nvSpPr>
        <xdr:cNvPr id="114" name="Rectángulo 113">
          <a:extLst>
            <a:ext uri="{FF2B5EF4-FFF2-40B4-BE49-F238E27FC236}">
              <a16:creationId xmlns:a16="http://schemas.microsoft.com/office/drawing/2014/main" id="{00000000-0008-0000-0200-000072000000}"/>
            </a:ext>
          </a:extLst>
        </xdr:cNvPr>
        <xdr:cNvSpPr/>
      </xdr:nvSpPr>
      <xdr:spPr>
        <a:xfrm>
          <a:off x="20378738" y="13535026"/>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20</xdr:col>
      <xdr:colOff>666750</xdr:colOff>
      <xdr:row>30</xdr:row>
      <xdr:rowOff>23812</xdr:rowOff>
    </xdr:from>
    <xdr:to>
      <xdr:col>21</xdr:col>
      <xdr:colOff>476250</xdr:colOff>
      <xdr:row>33</xdr:row>
      <xdr:rowOff>35718</xdr:rowOff>
    </xdr:to>
    <xdr:sp macro="" textlink="">
      <xdr:nvSpPr>
        <xdr:cNvPr id="115" name="Rectángulo 114">
          <a:extLst>
            <a:ext uri="{FF2B5EF4-FFF2-40B4-BE49-F238E27FC236}">
              <a16:creationId xmlns:a16="http://schemas.microsoft.com/office/drawing/2014/main" id="{00000000-0008-0000-0200-000073000000}"/>
            </a:ext>
          </a:extLst>
        </xdr:cNvPr>
        <xdr:cNvSpPr/>
      </xdr:nvSpPr>
      <xdr:spPr>
        <a:xfrm>
          <a:off x="20897850" y="13530262"/>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18</xdr:col>
      <xdr:colOff>584600</xdr:colOff>
      <xdr:row>27</xdr:row>
      <xdr:rowOff>1196</xdr:rowOff>
    </xdr:from>
    <xdr:to>
      <xdr:col>19</xdr:col>
      <xdr:colOff>453631</xdr:colOff>
      <xdr:row>29</xdr:row>
      <xdr:rowOff>144071</xdr:rowOff>
    </xdr:to>
    <xdr:sp macro="" textlink="">
      <xdr:nvSpPr>
        <xdr:cNvPr id="116" name="Rectángulo 115">
          <a:extLst>
            <a:ext uri="{FF2B5EF4-FFF2-40B4-BE49-F238E27FC236}">
              <a16:creationId xmlns:a16="http://schemas.microsoft.com/office/drawing/2014/main" id="{00000000-0008-0000-0200-000074000000}"/>
            </a:ext>
          </a:extLst>
        </xdr:cNvPr>
        <xdr:cNvSpPr/>
      </xdr:nvSpPr>
      <xdr:spPr>
        <a:xfrm rot="5400000">
          <a:off x="19416715" y="12906381"/>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19</xdr:col>
      <xdr:colOff>451251</xdr:colOff>
      <xdr:row>26</xdr:row>
      <xdr:rowOff>189316</xdr:rowOff>
    </xdr:from>
    <xdr:to>
      <xdr:col>20</xdr:col>
      <xdr:colOff>320282</xdr:colOff>
      <xdr:row>29</xdr:row>
      <xdr:rowOff>141691</xdr:rowOff>
    </xdr:to>
    <xdr:sp macro="" textlink="">
      <xdr:nvSpPr>
        <xdr:cNvPr id="117" name="Rectángulo 116">
          <a:extLst>
            <a:ext uri="{FF2B5EF4-FFF2-40B4-BE49-F238E27FC236}">
              <a16:creationId xmlns:a16="http://schemas.microsoft.com/office/drawing/2014/main" id="{00000000-0008-0000-0200-000075000000}"/>
            </a:ext>
          </a:extLst>
        </xdr:cNvPr>
        <xdr:cNvSpPr/>
      </xdr:nvSpPr>
      <xdr:spPr>
        <a:xfrm rot="5400000">
          <a:off x="19997741" y="12904001"/>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20</xdr:col>
      <xdr:colOff>317900</xdr:colOff>
      <xdr:row>26</xdr:row>
      <xdr:rowOff>186934</xdr:rowOff>
    </xdr:from>
    <xdr:to>
      <xdr:col>21</xdr:col>
      <xdr:colOff>186931</xdr:colOff>
      <xdr:row>29</xdr:row>
      <xdr:rowOff>139309</xdr:rowOff>
    </xdr:to>
    <xdr:sp macro="" textlink="">
      <xdr:nvSpPr>
        <xdr:cNvPr id="118" name="Rectángulo 117">
          <a:extLst>
            <a:ext uri="{FF2B5EF4-FFF2-40B4-BE49-F238E27FC236}">
              <a16:creationId xmlns:a16="http://schemas.microsoft.com/office/drawing/2014/main" id="{00000000-0008-0000-0200-000076000000}"/>
            </a:ext>
          </a:extLst>
        </xdr:cNvPr>
        <xdr:cNvSpPr/>
      </xdr:nvSpPr>
      <xdr:spPr>
        <a:xfrm rot="5400000">
          <a:off x="20578765" y="12901619"/>
          <a:ext cx="523875" cy="583406"/>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19</xdr:col>
      <xdr:colOff>431003</xdr:colOff>
      <xdr:row>41</xdr:row>
      <xdr:rowOff>14287</xdr:rowOff>
    </xdr:from>
    <xdr:to>
      <xdr:col>19</xdr:col>
      <xdr:colOff>431004</xdr:colOff>
      <xdr:row>43</xdr:row>
      <xdr:rowOff>121444</xdr:rowOff>
    </xdr:to>
    <xdr:cxnSp macro="">
      <xdr:nvCxnSpPr>
        <xdr:cNvPr id="119" name="Conector recto 118">
          <a:extLst>
            <a:ext uri="{FF2B5EF4-FFF2-40B4-BE49-F238E27FC236}">
              <a16:creationId xmlns:a16="http://schemas.microsoft.com/office/drawing/2014/main" id="{00000000-0008-0000-0200-000077000000}"/>
            </a:ext>
          </a:extLst>
        </xdr:cNvPr>
        <xdr:cNvCxnSpPr/>
      </xdr:nvCxnSpPr>
      <xdr:spPr>
        <a:xfrm flipH="1">
          <a:off x="24948353" y="13330237"/>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616740</xdr:colOff>
      <xdr:row>40</xdr:row>
      <xdr:rowOff>188118</xdr:rowOff>
    </xdr:from>
    <xdr:to>
      <xdr:col>18</xdr:col>
      <xdr:colOff>616741</xdr:colOff>
      <xdr:row>43</xdr:row>
      <xdr:rowOff>104775</xdr:rowOff>
    </xdr:to>
    <xdr:cxnSp macro="">
      <xdr:nvCxnSpPr>
        <xdr:cNvPr id="120" name="Conector recto 119">
          <a:extLst>
            <a:ext uri="{FF2B5EF4-FFF2-40B4-BE49-F238E27FC236}">
              <a16:creationId xmlns:a16="http://schemas.microsoft.com/office/drawing/2014/main" id="{00000000-0008-0000-0200-000078000000}"/>
            </a:ext>
          </a:extLst>
        </xdr:cNvPr>
        <xdr:cNvCxnSpPr/>
      </xdr:nvCxnSpPr>
      <xdr:spPr>
        <a:xfrm flipH="1">
          <a:off x="24419715" y="13313568"/>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245266</xdr:colOff>
      <xdr:row>40</xdr:row>
      <xdr:rowOff>185737</xdr:rowOff>
    </xdr:from>
    <xdr:to>
      <xdr:col>20</xdr:col>
      <xdr:colOff>245267</xdr:colOff>
      <xdr:row>43</xdr:row>
      <xdr:rowOff>102394</xdr:rowOff>
    </xdr:to>
    <xdr:cxnSp macro="">
      <xdr:nvCxnSpPr>
        <xdr:cNvPr id="121" name="Conector recto 120">
          <a:extLst>
            <a:ext uri="{FF2B5EF4-FFF2-40B4-BE49-F238E27FC236}">
              <a16:creationId xmlns:a16="http://schemas.microsoft.com/office/drawing/2014/main" id="{00000000-0008-0000-0200-000079000000}"/>
            </a:ext>
          </a:extLst>
        </xdr:cNvPr>
        <xdr:cNvCxnSpPr/>
      </xdr:nvCxnSpPr>
      <xdr:spPr>
        <a:xfrm flipH="1">
          <a:off x="25476991" y="13311187"/>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95249</xdr:colOff>
      <xdr:row>41</xdr:row>
      <xdr:rowOff>35717</xdr:rowOff>
    </xdr:from>
    <xdr:to>
      <xdr:col>18</xdr:col>
      <xdr:colOff>95250</xdr:colOff>
      <xdr:row>43</xdr:row>
      <xdr:rowOff>142874</xdr:rowOff>
    </xdr:to>
    <xdr:cxnSp macro="">
      <xdr:nvCxnSpPr>
        <xdr:cNvPr id="122" name="Conector recto 121">
          <a:extLst>
            <a:ext uri="{FF2B5EF4-FFF2-40B4-BE49-F238E27FC236}">
              <a16:creationId xmlns:a16="http://schemas.microsoft.com/office/drawing/2014/main" id="{00000000-0008-0000-0200-00007A000000}"/>
            </a:ext>
          </a:extLst>
        </xdr:cNvPr>
        <xdr:cNvCxnSpPr/>
      </xdr:nvCxnSpPr>
      <xdr:spPr>
        <a:xfrm flipH="1">
          <a:off x="23898224" y="13351667"/>
          <a:ext cx="1" cy="488157"/>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59531</xdr:colOff>
      <xdr:row>39</xdr:row>
      <xdr:rowOff>35718</xdr:rowOff>
    </xdr:from>
    <xdr:to>
      <xdr:col>22</xdr:col>
      <xdr:colOff>511968</xdr:colOff>
      <xdr:row>41</xdr:row>
      <xdr:rowOff>0</xdr:rowOff>
    </xdr:to>
    <xdr:cxnSp macro="">
      <xdr:nvCxnSpPr>
        <xdr:cNvPr id="123" name="Conector recto 122">
          <a:extLst>
            <a:ext uri="{FF2B5EF4-FFF2-40B4-BE49-F238E27FC236}">
              <a16:creationId xmlns:a16="http://schemas.microsoft.com/office/drawing/2014/main" id="{00000000-0008-0000-0200-00007B000000}"/>
            </a:ext>
          </a:extLst>
        </xdr:cNvPr>
        <xdr:cNvCxnSpPr/>
      </xdr:nvCxnSpPr>
      <xdr:spPr>
        <a:xfrm flipV="1">
          <a:off x="26005631" y="12970668"/>
          <a:ext cx="1166812" cy="345282"/>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280981</xdr:colOff>
      <xdr:row>38</xdr:row>
      <xdr:rowOff>185737</xdr:rowOff>
    </xdr:from>
    <xdr:to>
      <xdr:col>19</xdr:col>
      <xdr:colOff>233356</xdr:colOff>
      <xdr:row>40</xdr:row>
      <xdr:rowOff>173830</xdr:rowOff>
    </xdr:to>
    <xdr:cxnSp macro="">
      <xdr:nvCxnSpPr>
        <xdr:cNvPr id="124" name="Conector recto 123">
          <a:extLst>
            <a:ext uri="{FF2B5EF4-FFF2-40B4-BE49-F238E27FC236}">
              <a16:creationId xmlns:a16="http://schemas.microsoft.com/office/drawing/2014/main" id="{00000000-0008-0000-0200-00007C000000}"/>
            </a:ext>
          </a:extLst>
        </xdr:cNvPr>
        <xdr:cNvCxnSpPr/>
      </xdr:nvCxnSpPr>
      <xdr:spPr>
        <a:xfrm flipV="1">
          <a:off x="23369581" y="12930187"/>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511968</xdr:colOff>
      <xdr:row>39</xdr:row>
      <xdr:rowOff>-1</xdr:rowOff>
    </xdr:from>
    <xdr:to>
      <xdr:col>22</xdr:col>
      <xdr:colOff>511972</xdr:colOff>
      <xdr:row>41</xdr:row>
      <xdr:rowOff>166687</xdr:rowOff>
    </xdr:to>
    <xdr:cxnSp macro="">
      <xdr:nvCxnSpPr>
        <xdr:cNvPr id="125" name="Conector recto 124">
          <a:extLst>
            <a:ext uri="{FF2B5EF4-FFF2-40B4-BE49-F238E27FC236}">
              <a16:creationId xmlns:a16="http://schemas.microsoft.com/office/drawing/2014/main" id="{00000000-0008-0000-0200-00007D000000}"/>
            </a:ext>
          </a:extLst>
        </xdr:cNvPr>
        <xdr:cNvCxnSpPr/>
      </xdr:nvCxnSpPr>
      <xdr:spPr>
        <a:xfrm flipH="1">
          <a:off x="27172443" y="12934949"/>
          <a:ext cx="4" cy="547688"/>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238124</xdr:colOff>
      <xdr:row>39</xdr:row>
      <xdr:rowOff>-1</xdr:rowOff>
    </xdr:from>
    <xdr:to>
      <xdr:col>22</xdr:col>
      <xdr:colOff>511968</xdr:colOff>
      <xdr:row>39</xdr:row>
      <xdr:rowOff>-1</xdr:rowOff>
    </xdr:to>
    <xdr:cxnSp macro="">
      <xdr:nvCxnSpPr>
        <xdr:cNvPr id="126" name="Conector recto 125">
          <a:extLst>
            <a:ext uri="{FF2B5EF4-FFF2-40B4-BE49-F238E27FC236}">
              <a16:creationId xmlns:a16="http://schemas.microsoft.com/office/drawing/2014/main" id="{00000000-0008-0000-0200-00007E000000}"/>
            </a:ext>
          </a:extLst>
        </xdr:cNvPr>
        <xdr:cNvCxnSpPr/>
      </xdr:nvCxnSpPr>
      <xdr:spPr>
        <a:xfrm flipH="1">
          <a:off x="24755474" y="12934949"/>
          <a:ext cx="2416969"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595312</xdr:colOff>
      <xdr:row>39</xdr:row>
      <xdr:rowOff>178593</xdr:rowOff>
    </xdr:from>
    <xdr:to>
      <xdr:col>21</xdr:col>
      <xdr:colOff>595315</xdr:colOff>
      <xdr:row>42</xdr:row>
      <xdr:rowOff>154781</xdr:rowOff>
    </xdr:to>
    <xdr:cxnSp macro="">
      <xdr:nvCxnSpPr>
        <xdr:cNvPr id="127" name="Conector recto 126">
          <a:extLst>
            <a:ext uri="{FF2B5EF4-FFF2-40B4-BE49-F238E27FC236}">
              <a16:creationId xmlns:a16="http://schemas.microsoft.com/office/drawing/2014/main" id="{00000000-0008-0000-0200-00007F000000}"/>
            </a:ext>
          </a:extLst>
        </xdr:cNvPr>
        <xdr:cNvCxnSpPr/>
      </xdr:nvCxnSpPr>
      <xdr:spPr>
        <a:xfrm flipH="1">
          <a:off x="26541412" y="13113543"/>
          <a:ext cx="3" cy="547688"/>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45243</xdr:colOff>
      <xdr:row>41</xdr:row>
      <xdr:rowOff>152399</xdr:rowOff>
    </xdr:from>
    <xdr:to>
      <xdr:col>22</xdr:col>
      <xdr:colOff>497680</xdr:colOff>
      <xdr:row>43</xdr:row>
      <xdr:rowOff>116681</xdr:rowOff>
    </xdr:to>
    <xdr:cxnSp macro="">
      <xdr:nvCxnSpPr>
        <xdr:cNvPr id="128" name="Conector recto 127">
          <a:extLst>
            <a:ext uri="{FF2B5EF4-FFF2-40B4-BE49-F238E27FC236}">
              <a16:creationId xmlns:a16="http://schemas.microsoft.com/office/drawing/2014/main" id="{00000000-0008-0000-0200-000080000000}"/>
            </a:ext>
          </a:extLst>
        </xdr:cNvPr>
        <xdr:cNvCxnSpPr/>
      </xdr:nvCxnSpPr>
      <xdr:spPr>
        <a:xfrm flipV="1">
          <a:off x="25991343" y="13468349"/>
          <a:ext cx="1166812" cy="345282"/>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135729</xdr:colOff>
      <xdr:row>39</xdr:row>
      <xdr:rowOff>4762</xdr:rowOff>
    </xdr:from>
    <xdr:to>
      <xdr:col>20</xdr:col>
      <xdr:colOff>88104</xdr:colOff>
      <xdr:row>40</xdr:row>
      <xdr:rowOff>183355</xdr:rowOff>
    </xdr:to>
    <xdr:cxnSp macro="">
      <xdr:nvCxnSpPr>
        <xdr:cNvPr id="129" name="Conector recto 128">
          <a:extLst>
            <a:ext uri="{FF2B5EF4-FFF2-40B4-BE49-F238E27FC236}">
              <a16:creationId xmlns:a16="http://schemas.microsoft.com/office/drawing/2014/main" id="{00000000-0008-0000-0200-000081000000}"/>
            </a:ext>
          </a:extLst>
        </xdr:cNvPr>
        <xdr:cNvCxnSpPr/>
      </xdr:nvCxnSpPr>
      <xdr:spPr>
        <a:xfrm flipV="1">
          <a:off x="23938704" y="12939712"/>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621503</xdr:colOff>
      <xdr:row>39</xdr:row>
      <xdr:rowOff>2381</xdr:rowOff>
    </xdr:from>
    <xdr:to>
      <xdr:col>20</xdr:col>
      <xdr:colOff>573878</xdr:colOff>
      <xdr:row>40</xdr:row>
      <xdr:rowOff>180974</xdr:rowOff>
    </xdr:to>
    <xdr:cxnSp macro="">
      <xdr:nvCxnSpPr>
        <xdr:cNvPr id="130" name="Conector recto 129">
          <a:extLst>
            <a:ext uri="{FF2B5EF4-FFF2-40B4-BE49-F238E27FC236}">
              <a16:creationId xmlns:a16="http://schemas.microsoft.com/office/drawing/2014/main" id="{00000000-0008-0000-0200-000082000000}"/>
            </a:ext>
          </a:extLst>
        </xdr:cNvPr>
        <xdr:cNvCxnSpPr/>
      </xdr:nvCxnSpPr>
      <xdr:spPr>
        <a:xfrm flipV="1">
          <a:off x="24424478" y="12937331"/>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416716</xdr:colOff>
      <xdr:row>39</xdr:row>
      <xdr:rowOff>11906</xdr:rowOff>
    </xdr:from>
    <xdr:to>
      <xdr:col>21</xdr:col>
      <xdr:colOff>369091</xdr:colOff>
      <xdr:row>41</xdr:row>
      <xdr:rowOff>-1</xdr:rowOff>
    </xdr:to>
    <xdr:cxnSp macro="">
      <xdr:nvCxnSpPr>
        <xdr:cNvPr id="131" name="Conector recto 130">
          <a:extLst>
            <a:ext uri="{FF2B5EF4-FFF2-40B4-BE49-F238E27FC236}">
              <a16:creationId xmlns:a16="http://schemas.microsoft.com/office/drawing/2014/main" id="{00000000-0008-0000-0200-000083000000}"/>
            </a:ext>
          </a:extLst>
        </xdr:cNvPr>
        <xdr:cNvCxnSpPr/>
      </xdr:nvCxnSpPr>
      <xdr:spPr>
        <a:xfrm flipV="1">
          <a:off x="24934066" y="12946856"/>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235742</xdr:colOff>
      <xdr:row>39</xdr:row>
      <xdr:rowOff>9525</xdr:rowOff>
    </xdr:from>
    <xdr:to>
      <xdr:col>22</xdr:col>
      <xdr:colOff>188117</xdr:colOff>
      <xdr:row>40</xdr:row>
      <xdr:rowOff>188118</xdr:rowOff>
    </xdr:to>
    <xdr:cxnSp macro="">
      <xdr:nvCxnSpPr>
        <xdr:cNvPr id="132" name="Conector recto 131">
          <a:extLst>
            <a:ext uri="{FF2B5EF4-FFF2-40B4-BE49-F238E27FC236}">
              <a16:creationId xmlns:a16="http://schemas.microsoft.com/office/drawing/2014/main" id="{00000000-0008-0000-0200-000084000000}"/>
            </a:ext>
          </a:extLst>
        </xdr:cNvPr>
        <xdr:cNvCxnSpPr/>
      </xdr:nvCxnSpPr>
      <xdr:spPr>
        <a:xfrm flipV="1">
          <a:off x="25467467" y="12944475"/>
          <a:ext cx="1381125" cy="36909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330992</xdr:colOff>
      <xdr:row>39</xdr:row>
      <xdr:rowOff>164305</xdr:rowOff>
    </xdr:from>
    <xdr:to>
      <xdr:col>21</xdr:col>
      <xdr:colOff>604836</xdr:colOff>
      <xdr:row>39</xdr:row>
      <xdr:rowOff>164305</xdr:rowOff>
    </xdr:to>
    <xdr:cxnSp macro="">
      <xdr:nvCxnSpPr>
        <xdr:cNvPr id="133" name="Conector recto 132">
          <a:extLst>
            <a:ext uri="{FF2B5EF4-FFF2-40B4-BE49-F238E27FC236}">
              <a16:creationId xmlns:a16="http://schemas.microsoft.com/office/drawing/2014/main" id="{00000000-0008-0000-0200-000085000000}"/>
            </a:ext>
          </a:extLst>
        </xdr:cNvPr>
        <xdr:cNvCxnSpPr/>
      </xdr:nvCxnSpPr>
      <xdr:spPr>
        <a:xfrm flipH="1">
          <a:off x="24133967" y="13099255"/>
          <a:ext cx="2416969"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719530</xdr:colOff>
      <xdr:row>13</xdr:row>
      <xdr:rowOff>117516</xdr:rowOff>
    </xdr:from>
    <xdr:to>
      <xdr:col>19</xdr:col>
      <xdr:colOff>271884</xdr:colOff>
      <xdr:row>16</xdr:row>
      <xdr:rowOff>157106</xdr:rowOff>
    </xdr:to>
    <xdr:cxnSp macro="">
      <xdr:nvCxnSpPr>
        <xdr:cNvPr id="141" name="Conector recto 140">
          <a:extLst>
            <a:ext uri="{FF2B5EF4-FFF2-40B4-BE49-F238E27FC236}">
              <a16:creationId xmlns:a16="http://schemas.microsoft.com/office/drawing/2014/main" id="{00000000-0008-0000-0200-00008D000000}"/>
            </a:ext>
          </a:extLst>
        </xdr:cNvPr>
        <xdr:cNvCxnSpPr/>
      </xdr:nvCxnSpPr>
      <xdr:spPr>
        <a:xfrm flipV="1">
          <a:off x="18074822" y="2739984"/>
          <a:ext cx="1086250" cy="59624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587417</xdr:colOff>
      <xdr:row>13</xdr:row>
      <xdr:rowOff>146215</xdr:rowOff>
    </xdr:from>
    <xdr:to>
      <xdr:col>24</xdr:col>
      <xdr:colOff>139770</xdr:colOff>
      <xdr:row>17</xdr:row>
      <xdr:rowOff>253</xdr:rowOff>
    </xdr:to>
    <xdr:cxnSp macro="">
      <xdr:nvCxnSpPr>
        <xdr:cNvPr id="142" name="Conector recto 141">
          <a:extLst>
            <a:ext uri="{FF2B5EF4-FFF2-40B4-BE49-F238E27FC236}">
              <a16:creationId xmlns:a16="http://schemas.microsoft.com/office/drawing/2014/main" id="{00000000-0008-0000-0200-00008E000000}"/>
            </a:ext>
          </a:extLst>
        </xdr:cNvPr>
        <xdr:cNvCxnSpPr/>
      </xdr:nvCxnSpPr>
      <xdr:spPr>
        <a:xfrm flipV="1">
          <a:off x="21777449" y="2768683"/>
          <a:ext cx="1086250" cy="59624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285749</xdr:colOff>
      <xdr:row>42</xdr:row>
      <xdr:rowOff>37110</xdr:rowOff>
    </xdr:from>
    <xdr:to>
      <xdr:col>22</xdr:col>
      <xdr:colOff>511972</xdr:colOff>
      <xdr:row>46</xdr:row>
      <xdr:rowOff>179985</xdr:rowOff>
    </xdr:to>
    <xdr:grpSp>
      <xdr:nvGrpSpPr>
        <xdr:cNvPr id="160" name="Grupo 159">
          <a:extLst>
            <a:ext uri="{FF2B5EF4-FFF2-40B4-BE49-F238E27FC236}">
              <a16:creationId xmlns:a16="http://schemas.microsoft.com/office/drawing/2014/main" id="{00000000-0008-0000-0200-0000A0000000}"/>
            </a:ext>
          </a:extLst>
        </xdr:cNvPr>
        <xdr:cNvGrpSpPr/>
      </xdr:nvGrpSpPr>
      <xdr:grpSpPr>
        <a:xfrm>
          <a:off x="19818184" y="9957954"/>
          <a:ext cx="4060963" cy="885083"/>
          <a:chOff x="17641041" y="13668993"/>
          <a:chExt cx="4060963" cy="885082"/>
        </a:xfrm>
      </xdr:grpSpPr>
      <xdr:sp macro="" textlink="">
        <xdr:nvSpPr>
          <xdr:cNvPr id="145" name="Rectángulo 144">
            <a:extLst>
              <a:ext uri="{FF2B5EF4-FFF2-40B4-BE49-F238E27FC236}">
                <a16:creationId xmlns:a16="http://schemas.microsoft.com/office/drawing/2014/main" id="{00000000-0008-0000-0200-000091000000}"/>
              </a:ext>
            </a:extLst>
          </xdr:cNvPr>
          <xdr:cNvSpPr/>
        </xdr:nvSpPr>
        <xdr:spPr>
          <a:xfrm>
            <a:off x="17641041" y="14040097"/>
            <a:ext cx="2841574" cy="502072"/>
          </a:xfrm>
          <a:prstGeom prst="rect">
            <a:avLst/>
          </a:prstGeom>
          <a:no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xnSp macro="">
        <xdr:nvCxnSpPr>
          <xdr:cNvPr id="146" name="Conector recto 145">
            <a:extLst>
              <a:ext uri="{FF2B5EF4-FFF2-40B4-BE49-F238E27FC236}">
                <a16:creationId xmlns:a16="http://schemas.microsoft.com/office/drawing/2014/main" id="{00000000-0008-0000-0200-000092000000}"/>
              </a:ext>
            </a:extLst>
          </xdr:cNvPr>
          <xdr:cNvCxnSpPr/>
        </xdr:nvCxnSpPr>
        <xdr:spPr>
          <a:xfrm flipH="1">
            <a:off x="19320191" y="14054384"/>
            <a:ext cx="1" cy="47826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47" name="Conector recto 146">
            <a:extLst>
              <a:ext uri="{FF2B5EF4-FFF2-40B4-BE49-F238E27FC236}">
                <a16:creationId xmlns:a16="http://schemas.microsoft.com/office/drawing/2014/main" id="{00000000-0008-0000-0200-000093000000}"/>
              </a:ext>
            </a:extLst>
          </xdr:cNvPr>
          <xdr:cNvCxnSpPr/>
        </xdr:nvCxnSpPr>
        <xdr:spPr>
          <a:xfrm flipH="1">
            <a:off x="18738980" y="14042663"/>
            <a:ext cx="1" cy="47331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48" name="Conector recto 147">
            <a:extLst>
              <a:ext uri="{FF2B5EF4-FFF2-40B4-BE49-F238E27FC236}">
                <a16:creationId xmlns:a16="http://schemas.microsoft.com/office/drawing/2014/main" id="{00000000-0008-0000-0200-000094000000}"/>
              </a:ext>
            </a:extLst>
          </xdr:cNvPr>
          <xdr:cNvCxnSpPr/>
        </xdr:nvCxnSpPr>
        <xdr:spPr>
          <a:xfrm flipH="1">
            <a:off x="19901402" y="14040282"/>
            <a:ext cx="1" cy="47331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49" name="Conector recto 148">
            <a:extLst>
              <a:ext uri="{FF2B5EF4-FFF2-40B4-BE49-F238E27FC236}">
                <a16:creationId xmlns:a16="http://schemas.microsoft.com/office/drawing/2014/main" id="{00000000-0008-0000-0200-000095000000}"/>
              </a:ext>
            </a:extLst>
          </xdr:cNvPr>
          <xdr:cNvCxnSpPr/>
        </xdr:nvCxnSpPr>
        <xdr:spPr>
          <a:xfrm flipH="1">
            <a:off x="18217489" y="14075814"/>
            <a:ext cx="1" cy="47826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50" name="Conector recto 149">
            <a:extLst>
              <a:ext uri="{FF2B5EF4-FFF2-40B4-BE49-F238E27FC236}">
                <a16:creationId xmlns:a16="http://schemas.microsoft.com/office/drawing/2014/main" id="{00000000-0008-0000-0200-000096000000}"/>
              </a:ext>
            </a:extLst>
          </xdr:cNvPr>
          <xdr:cNvCxnSpPr/>
        </xdr:nvCxnSpPr>
        <xdr:spPr>
          <a:xfrm flipV="1">
            <a:off x="20482615" y="13704712"/>
            <a:ext cx="1219385" cy="335385"/>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52" name="Conector recto 151">
            <a:extLst>
              <a:ext uri="{FF2B5EF4-FFF2-40B4-BE49-F238E27FC236}">
                <a16:creationId xmlns:a16="http://schemas.microsoft.com/office/drawing/2014/main" id="{00000000-0008-0000-0200-000098000000}"/>
              </a:ext>
            </a:extLst>
          </xdr:cNvPr>
          <xdr:cNvCxnSpPr/>
        </xdr:nvCxnSpPr>
        <xdr:spPr>
          <a:xfrm flipH="1">
            <a:off x="21702000" y="13668993"/>
            <a:ext cx="4" cy="53779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53" name="Conector recto 152">
            <a:extLst>
              <a:ext uri="{FF2B5EF4-FFF2-40B4-BE49-F238E27FC236}">
                <a16:creationId xmlns:a16="http://schemas.microsoft.com/office/drawing/2014/main" id="{00000000-0008-0000-0200-000099000000}"/>
              </a:ext>
            </a:extLst>
          </xdr:cNvPr>
          <xdr:cNvCxnSpPr/>
        </xdr:nvCxnSpPr>
        <xdr:spPr>
          <a:xfrm flipH="1">
            <a:off x="21018396" y="13847587"/>
            <a:ext cx="3" cy="532843"/>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154" name="Conector recto 153">
            <a:extLst>
              <a:ext uri="{FF2B5EF4-FFF2-40B4-BE49-F238E27FC236}">
                <a16:creationId xmlns:a16="http://schemas.microsoft.com/office/drawing/2014/main" id="{00000000-0008-0000-0200-00009A000000}"/>
              </a:ext>
            </a:extLst>
          </xdr:cNvPr>
          <xdr:cNvCxnSpPr/>
        </xdr:nvCxnSpPr>
        <xdr:spPr>
          <a:xfrm flipV="1">
            <a:off x="20468327" y="14192496"/>
            <a:ext cx="1219385" cy="335386"/>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3.xml><?xml version="1.0" encoding="utf-8"?>
<xdr:wsDr xmlns:xdr="http://schemas.openxmlformats.org/drawingml/2006/spreadsheetDrawing" xmlns:a="http://schemas.openxmlformats.org/drawingml/2006/main">
  <xdr:twoCellAnchor editAs="oneCell">
    <xdr:from>
      <xdr:col>16</xdr:col>
      <xdr:colOff>0</xdr:colOff>
      <xdr:row>14</xdr:row>
      <xdr:rowOff>0</xdr:rowOff>
    </xdr:from>
    <xdr:to>
      <xdr:col>16</xdr:col>
      <xdr:colOff>304800</xdr:colOff>
      <xdr:row>15</xdr:row>
      <xdr:rowOff>114300</xdr:rowOff>
    </xdr:to>
    <xdr:sp macro="" textlink="">
      <xdr:nvSpPr>
        <xdr:cNvPr id="2049" name="AutoShape 1" descr="blob:https://web.whatsapp.com/9db3c01e-9c22-4238-98f0-6f1472e5ffa6">
          <a:extLst>
            <a:ext uri="{FF2B5EF4-FFF2-40B4-BE49-F238E27FC236}">
              <a16:creationId xmlns:a16="http://schemas.microsoft.com/office/drawing/2014/main" id="{00000000-0008-0000-0300-000001080000}"/>
            </a:ext>
          </a:extLst>
        </xdr:cNvPr>
        <xdr:cNvSpPr>
          <a:spLocks noChangeAspect="1" noChangeArrowheads="1"/>
        </xdr:cNvSpPr>
      </xdr:nvSpPr>
      <xdr:spPr bwMode="auto">
        <a:xfrm>
          <a:off x="15420975" y="2667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16</xdr:col>
      <xdr:colOff>0</xdr:colOff>
      <xdr:row>14</xdr:row>
      <xdr:rowOff>0</xdr:rowOff>
    </xdr:from>
    <xdr:to>
      <xdr:col>16</xdr:col>
      <xdr:colOff>304800</xdr:colOff>
      <xdr:row>15</xdr:row>
      <xdr:rowOff>114300</xdr:rowOff>
    </xdr:to>
    <xdr:sp macro="" textlink="">
      <xdr:nvSpPr>
        <xdr:cNvPr id="2050" name="AutoShape 2" descr="blob:https://web.whatsapp.com/9db3c01e-9c22-4238-98f0-6f1472e5ffa6">
          <a:extLst>
            <a:ext uri="{FF2B5EF4-FFF2-40B4-BE49-F238E27FC236}">
              <a16:creationId xmlns:a16="http://schemas.microsoft.com/office/drawing/2014/main" id="{00000000-0008-0000-0300-000002080000}"/>
            </a:ext>
          </a:extLst>
        </xdr:cNvPr>
        <xdr:cNvSpPr>
          <a:spLocks noChangeAspect="1" noChangeArrowheads="1"/>
        </xdr:cNvSpPr>
      </xdr:nvSpPr>
      <xdr:spPr bwMode="auto">
        <a:xfrm>
          <a:off x="15420975" y="2667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11</xdr:col>
      <xdr:colOff>427410</xdr:colOff>
      <xdr:row>29</xdr:row>
      <xdr:rowOff>48844</xdr:rowOff>
    </xdr:from>
    <xdr:to>
      <xdr:col>18</xdr:col>
      <xdr:colOff>671634</xdr:colOff>
      <xdr:row>52</xdr:row>
      <xdr:rowOff>157279</xdr:rowOff>
    </xdr:to>
    <xdr:grpSp>
      <xdr:nvGrpSpPr>
        <xdr:cNvPr id="28" name="Grupo 27">
          <a:extLst>
            <a:ext uri="{FF2B5EF4-FFF2-40B4-BE49-F238E27FC236}">
              <a16:creationId xmlns:a16="http://schemas.microsoft.com/office/drawing/2014/main" id="{00000000-0008-0000-0300-00001C000000}"/>
            </a:ext>
          </a:extLst>
        </xdr:cNvPr>
        <xdr:cNvGrpSpPr/>
      </xdr:nvGrpSpPr>
      <xdr:grpSpPr>
        <a:xfrm>
          <a:off x="12199333" y="5714998"/>
          <a:ext cx="5507397" cy="4602281"/>
          <a:chOff x="12321449" y="2991825"/>
          <a:chExt cx="5446339" cy="4602281"/>
        </a:xfrm>
      </xdr:grpSpPr>
      <xdr:pic>
        <xdr:nvPicPr>
          <xdr:cNvPr id="23" name="Imagen 22">
            <a:extLst>
              <a:ext uri="{FF2B5EF4-FFF2-40B4-BE49-F238E27FC236}">
                <a16:creationId xmlns:a16="http://schemas.microsoft.com/office/drawing/2014/main" id="{00000000-0008-0000-0300-000017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52652"/>
          <a:stretch/>
        </xdr:blipFill>
        <xdr:spPr>
          <a:xfrm>
            <a:off x="12846539" y="2991825"/>
            <a:ext cx="4921249" cy="4602281"/>
          </a:xfrm>
          <a:prstGeom prst="rect">
            <a:avLst/>
          </a:prstGeom>
        </xdr:spPr>
      </xdr:pic>
      <xdr:sp macro="" textlink="">
        <xdr:nvSpPr>
          <xdr:cNvPr id="24" name="Flecha derecha 23">
            <a:extLst>
              <a:ext uri="{FF2B5EF4-FFF2-40B4-BE49-F238E27FC236}">
                <a16:creationId xmlns:a16="http://schemas.microsoft.com/office/drawing/2014/main" id="{00000000-0008-0000-0300-000018000000}"/>
              </a:ext>
            </a:extLst>
          </xdr:cNvPr>
          <xdr:cNvSpPr/>
        </xdr:nvSpPr>
        <xdr:spPr>
          <a:xfrm>
            <a:off x="12321449" y="5189903"/>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19</xdr:col>
      <xdr:colOff>635000</xdr:colOff>
      <xdr:row>29</xdr:row>
      <xdr:rowOff>36637</xdr:rowOff>
    </xdr:from>
    <xdr:to>
      <xdr:col>28</xdr:col>
      <xdr:colOff>1517469</xdr:colOff>
      <xdr:row>49</xdr:row>
      <xdr:rowOff>146541</xdr:rowOff>
    </xdr:to>
    <xdr:grpSp>
      <xdr:nvGrpSpPr>
        <xdr:cNvPr id="29" name="Grupo 28">
          <a:extLst>
            <a:ext uri="{FF2B5EF4-FFF2-40B4-BE49-F238E27FC236}">
              <a16:creationId xmlns:a16="http://schemas.microsoft.com/office/drawing/2014/main" id="{00000000-0008-0000-0300-00001D000000}"/>
            </a:ext>
          </a:extLst>
        </xdr:cNvPr>
        <xdr:cNvGrpSpPr/>
      </xdr:nvGrpSpPr>
      <xdr:grpSpPr>
        <a:xfrm>
          <a:off x="18488269" y="5702791"/>
          <a:ext cx="8868815" cy="4017596"/>
          <a:chOff x="18158558" y="3004041"/>
          <a:chExt cx="8832180" cy="4017596"/>
        </a:xfrm>
      </xdr:grpSpPr>
      <xdr:pic>
        <xdr:nvPicPr>
          <xdr:cNvPr id="25" name="Imagen 24">
            <a:extLst>
              <a:ext uri="{FF2B5EF4-FFF2-40B4-BE49-F238E27FC236}">
                <a16:creationId xmlns:a16="http://schemas.microsoft.com/office/drawing/2014/main" id="{00000000-0008-0000-0300-000019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8158558" y="3004041"/>
            <a:ext cx="8832180" cy="4017596"/>
          </a:xfrm>
          <a:prstGeom prst="rect">
            <a:avLst/>
          </a:prstGeom>
        </xdr:spPr>
      </xdr:pic>
      <xdr:sp macro="" textlink="">
        <xdr:nvSpPr>
          <xdr:cNvPr id="31" name="Flecha derecha 30">
            <a:extLst>
              <a:ext uri="{FF2B5EF4-FFF2-40B4-BE49-F238E27FC236}">
                <a16:creationId xmlns:a16="http://schemas.microsoft.com/office/drawing/2014/main" id="{00000000-0008-0000-0300-00001F000000}"/>
              </a:ext>
            </a:extLst>
          </xdr:cNvPr>
          <xdr:cNvSpPr/>
        </xdr:nvSpPr>
        <xdr:spPr>
          <a:xfrm>
            <a:off x="18201060" y="4963745"/>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28</xdr:col>
      <xdr:colOff>1721346</xdr:colOff>
      <xdr:row>29</xdr:row>
      <xdr:rowOff>36635</xdr:rowOff>
    </xdr:from>
    <xdr:to>
      <xdr:col>34</xdr:col>
      <xdr:colOff>903654</xdr:colOff>
      <xdr:row>53</xdr:row>
      <xdr:rowOff>134328</xdr:rowOff>
    </xdr:to>
    <xdr:grpSp>
      <xdr:nvGrpSpPr>
        <xdr:cNvPr id="27" name="Grupo 26">
          <a:extLst>
            <a:ext uri="{FF2B5EF4-FFF2-40B4-BE49-F238E27FC236}">
              <a16:creationId xmlns:a16="http://schemas.microsoft.com/office/drawing/2014/main" id="{00000000-0008-0000-0300-00001B000000}"/>
            </a:ext>
          </a:extLst>
        </xdr:cNvPr>
        <xdr:cNvGrpSpPr/>
      </xdr:nvGrpSpPr>
      <xdr:grpSpPr>
        <a:xfrm>
          <a:off x="27389511" y="5702789"/>
          <a:ext cx="4843089" cy="4786924"/>
          <a:chOff x="26913749" y="2942981"/>
          <a:chExt cx="5141539" cy="4786924"/>
        </a:xfrm>
      </xdr:grpSpPr>
      <xdr:pic>
        <xdr:nvPicPr>
          <xdr:cNvPr id="26" name="Imagen 25">
            <a:extLst>
              <a:ext uri="{FF2B5EF4-FFF2-40B4-BE49-F238E27FC236}">
                <a16:creationId xmlns:a16="http://schemas.microsoft.com/office/drawing/2014/main" id="{00000000-0008-0000-0300-00001A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3521" b="5060"/>
          <a:stretch/>
        </xdr:blipFill>
        <xdr:spPr>
          <a:xfrm>
            <a:off x="27537019" y="2942981"/>
            <a:ext cx="4518269" cy="4786924"/>
          </a:xfrm>
          <a:prstGeom prst="rect">
            <a:avLst/>
          </a:prstGeom>
        </xdr:spPr>
      </xdr:pic>
      <xdr:sp macro="" textlink="">
        <xdr:nvSpPr>
          <xdr:cNvPr id="33" name="Flecha derecha 32">
            <a:extLst>
              <a:ext uri="{FF2B5EF4-FFF2-40B4-BE49-F238E27FC236}">
                <a16:creationId xmlns:a16="http://schemas.microsoft.com/office/drawing/2014/main" id="{00000000-0008-0000-0300-000021000000}"/>
              </a:ext>
            </a:extLst>
          </xdr:cNvPr>
          <xdr:cNvSpPr/>
        </xdr:nvSpPr>
        <xdr:spPr>
          <a:xfrm>
            <a:off x="26913749" y="7240953"/>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12</xdr:col>
      <xdr:colOff>256442</xdr:colOff>
      <xdr:row>81</xdr:row>
      <xdr:rowOff>0</xdr:rowOff>
    </xdr:from>
    <xdr:to>
      <xdr:col>19</xdr:col>
      <xdr:colOff>402973</xdr:colOff>
      <xdr:row>104</xdr:row>
      <xdr:rowOff>108435</xdr:rowOff>
    </xdr:to>
    <xdr:grpSp>
      <xdr:nvGrpSpPr>
        <xdr:cNvPr id="41" name="Grupo 40">
          <a:extLst>
            <a:ext uri="{FF2B5EF4-FFF2-40B4-BE49-F238E27FC236}">
              <a16:creationId xmlns:a16="http://schemas.microsoft.com/office/drawing/2014/main" id="{00000000-0008-0000-0300-000029000000}"/>
            </a:ext>
          </a:extLst>
        </xdr:cNvPr>
        <xdr:cNvGrpSpPr/>
      </xdr:nvGrpSpPr>
      <xdr:grpSpPr>
        <a:xfrm>
          <a:off x="12748846" y="15826154"/>
          <a:ext cx="5507396" cy="4602281"/>
          <a:chOff x="12321449" y="2991825"/>
          <a:chExt cx="5446339" cy="4602281"/>
        </a:xfrm>
      </xdr:grpSpPr>
      <xdr:pic>
        <xdr:nvPicPr>
          <xdr:cNvPr id="42" name="Imagen 41">
            <a:extLst>
              <a:ext uri="{FF2B5EF4-FFF2-40B4-BE49-F238E27FC236}">
                <a16:creationId xmlns:a16="http://schemas.microsoft.com/office/drawing/2014/main" id="{00000000-0008-0000-0300-00002A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52652"/>
          <a:stretch/>
        </xdr:blipFill>
        <xdr:spPr>
          <a:xfrm>
            <a:off x="12846539" y="2991825"/>
            <a:ext cx="4921249" cy="4602281"/>
          </a:xfrm>
          <a:prstGeom prst="rect">
            <a:avLst/>
          </a:prstGeom>
        </xdr:spPr>
      </xdr:pic>
      <xdr:sp macro="" textlink="">
        <xdr:nvSpPr>
          <xdr:cNvPr id="43" name="Flecha derecha 42">
            <a:extLst>
              <a:ext uri="{FF2B5EF4-FFF2-40B4-BE49-F238E27FC236}">
                <a16:creationId xmlns:a16="http://schemas.microsoft.com/office/drawing/2014/main" id="{00000000-0008-0000-0300-00002B000000}"/>
              </a:ext>
            </a:extLst>
          </xdr:cNvPr>
          <xdr:cNvSpPr/>
        </xdr:nvSpPr>
        <xdr:spPr>
          <a:xfrm>
            <a:off x="12321449" y="5189903"/>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29</xdr:col>
      <xdr:colOff>732693</xdr:colOff>
      <xdr:row>81</xdr:row>
      <xdr:rowOff>0</xdr:rowOff>
    </xdr:from>
    <xdr:to>
      <xdr:col>35</xdr:col>
      <xdr:colOff>635482</xdr:colOff>
      <xdr:row>105</xdr:row>
      <xdr:rowOff>97693</xdr:rowOff>
    </xdr:to>
    <xdr:grpSp>
      <xdr:nvGrpSpPr>
        <xdr:cNvPr id="44" name="Grupo 43">
          <a:extLst>
            <a:ext uri="{FF2B5EF4-FFF2-40B4-BE49-F238E27FC236}">
              <a16:creationId xmlns:a16="http://schemas.microsoft.com/office/drawing/2014/main" id="{00000000-0008-0000-0300-00002C000000}"/>
            </a:ext>
          </a:extLst>
        </xdr:cNvPr>
        <xdr:cNvGrpSpPr/>
      </xdr:nvGrpSpPr>
      <xdr:grpSpPr>
        <a:xfrm>
          <a:off x="28123174" y="15826154"/>
          <a:ext cx="4750770" cy="4786924"/>
          <a:chOff x="26913749" y="2942981"/>
          <a:chExt cx="5141539" cy="4786924"/>
        </a:xfrm>
      </xdr:grpSpPr>
      <xdr:pic>
        <xdr:nvPicPr>
          <xdr:cNvPr id="45" name="Imagen 44">
            <a:extLst>
              <a:ext uri="{FF2B5EF4-FFF2-40B4-BE49-F238E27FC236}">
                <a16:creationId xmlns:a16="http://schemas.microsoft.com/office/drawing/2014/main" id="{00000000-0008-0000-0300-00002D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3521" b="5060"/>
          <a:stretch/>
        </xdr:blipFill>
        <xdr:spPr>
          <a:xfrm>
            <a:off x="27537019" y="2942981"/>
            <a:ext cx="4518269" cy="4786924"/>
          </a:xfrm>
          <a:prstGeom prst="rect">
            <a:avLst/>
          </a:prstGeom>
        </xdr:spPr>
      </xdr:pic>
      <xdr:sp macro="" textlink="">
        <xdr:nvSpPr>
          <xdr:cNvPr id="46" name="Flecha derecha 45">
            <a:extLst>
              <a:ext uri="{FF2B5EF4-FFF2-40B4-BE49-F238E27FC236}">
                <a16:creationId xmlns:a16="http://schemas.microsoft.com/office/drawing/2014/main" id="{00000000-0008-0000-0300-00002E000000}"/>
              </a:ext>
            </a:extLst>
          </xdr:cNvPr>
          <xdr:cNvSpPr/>
        </xdr:nvSpPr>
        <xdr:spPr>
          <a:xfrm>
            <a:off x="26913749" y="7240953"/>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21</xdr:col>
      <xdr:colOff>97692</xdr:colOff>
      <xdr:row>81</xdr:row>
      <xdr:rowOff>0</xdr:rowOff>
    </xdr:from>
    <xdr:to>
      <xdr:col>29</xdr:col>
      <xdr:colOff>602729</xdr:colOff>
      <xdr:row>102</xdr:row>
      <xdr:rowOff>109904</xdr:rowOff>
    </xdr:to>
    <xdr:grpSp>
      <xdr:nvGrpSpPr>
        <xdr:cNvPr id="2054" name="Grupo 2053">
          <a:extLst>
            <a:ext uri="{FF2B5EF4-FFF2-40B4-BE49-F238E27FC236}">
              <a16:creationId xmlns:a16="http://schemas.microsoft.com/office/drawing/2014/main" id="{00000000-0008-0000-0300-000006080000}"/>
            </a:ext>
          </a:extLst>
        </xdr:cNvPr>
        <xdr:cNvGrpSpPr/>
      </xdr:nvGrpSpPr>
      <xdr:grpSpPr>
        <a:xfrm>
          <a:off x="19562884" y="15826154"/>
          <a:ext cx="8430326" cy="4212981"/>
          <a:chOff x="19159904" y="15826154"/>
          <a:chExt cx="9053113" cy="4212981"/>
        </a:xfrm>
      </xdr:grpSpPr>
      <xdr:pic>
        <xdr:nvPicPr>
          <xdr:cNvPr id="30" name="Imagen 29">
            <a:extLst>
              <a:ext uri="{FF2B5EF4-FFF2-40B4-BE49-F238E27FC236}">
                <a16:creationId xmlns:a16="http://schemas.microsoft.com/office/drawing/2014/main" id="{00000000-0008-0000-0300-00001E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9355289" y="15826154"/>
            <a:ext cx="8857728" cy="4212981"/>
          </a:xfrm>
          <a:prstGeom prst="rect">
            <a:avLst/>
          </a:prstGeom>
        </xdr:spPr>
      </xdr:pic>
      <xdr:sp macro="" textlink="">
        <xdr:nvSpPr>
          <xdr:cNvPr id="49" name="Flecha derecha 48">
            <a:extLst>
              <a:ext uri="{FF2B5EF4-FFF2-40B4-BE49-F238E27FC236}">
                <a16:creationId xmlns:a16="http://schemas.microsoft.com/office/drawing/2014/main" id="{00000000-0008-0000-0300-000031000000}"/>
              </a:ext>
            </a:extLst>
          </xdr:cNvPr>
          <xdr:cNvSpPr/>
        </xdr:nvSpPr>
        <xdr:spPr>
          <a:xfrm>
            <a:off x="19159904" y="17853269"/>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11</xdr:col>
      <xdr:colOff>525096</xdr:colOff>
      <xdr:row>129</xdr:row>
      <xdr:rowOff>12212</xdr:rowOff>
    </xdr:from>
    <xdr:to>
      <xdr:col>18</xdr:col>
      <xdr:colOff>769320</xdr:colOff>
      <xdr:row>152</xdr:row>
      <xdr:rowOff>120646</xdr:rowOff>
    </xdr:to>
    <xdr:grpSp>
      <xdr:nvGrpSpPr>
        <xdr:cNvPr id="55" name="Grupo 54">
          <a:extLst>
            <a:ext uri="{FF2B5EF4-FFF2-40B4-BE49-F238E27FC236}">
              <a16:creationId xmlns:a16="http://schemas.microsoft.com/office/drawing/2014/main" id="{00000000-0008-0000-0300-000037000000}"/>
            </a:ext>
          </a:extLst>
        </xdr:cNvPr>
        <xdr:cNvGrpSpPr/>
      </xdr:nvGrpSpPr>
      <xdr:grpSpPr>
        <a:xfrm>
          <a:off x="12297019" y="25216827"/>
          <a:ext cx="5507397" cy="4602281"/>
          <a:chOff x="12321449" y="2991825"/>
          <a:chExt cx="5446339" cy="4602281"/>
        </a:xfrm>
      </xdr:grpSpPr>
      <xdr:pic>
        <xdr:nvPicPr>
          <xdr:cNvPr id="56" name="Imagen 55">
            <a:extLst>
              <a:ext uri="{FF2B5EF4-FFF2-40B4-BE49-F238E27FC236}">
                <a16:creationId xmlns:a16="http://schemas.microsoft.com/office/drawing/2014/main" id="{00000000-0008-0000-0300-000038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52652"/>
          <a:stretch/>
        </xdr:blipFill>
        <xdr:spPr>
          <a:xfrm>
            <a:off x="12846539" y="2991825"/>
            <a:ext cx="4921249" cy="4602281"/>
          </a:xfrm>
          <a:prstGeom prst="rect">
            <a:avLst/>
          </a:prstGeom>
        </xdr:spPr>
      </xdr:pic>
      <xdr:sp macro="" textlink="">
        <xdr:nvSpPr>
          <xdr:cNvPr id="57" name="Flecha derecha 56">
            <a:extLst>
              <a:ext uri="{FF2B5EF4-FFF2-40B4-BE49-F238E27FC236}">
                <a16:creationId xmlns:a16="http://schemas.microsoft.com/office/drawing/2014/main" id="{00000000-0008-0000-0300-000039000000}"/>
              </a:ext>
            </a:extLst>
          </xdr:cNvPr>
          <xdr:cNvSpPr/>
        </xdr:nvSpPr>
        <xdr:spPr>
          <a:xfrm>
            <a:off x="12321449" y="5189903"/>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29</xdr:col>
      <xdr:colOff>549520</xdr:colOff>
      <xdr:row>128</xdr:row>
      <xdr:rowOff>195383</xdr:rowOff>
    </xdr:from>
    <xdr:to>
      <xdr:col>35</xdr:col>
      <xdr:colOff>452309</xdr:colOff>
      <xdr:row>153</xdr:row>
      <xdr:rowOff>97692</xdr:rowOff>
    </xdr:to>
    <xdr:grpSp>
      <xdr:nvGrpSpPr>
        <xdr:cNvPr id="58" name="Grupo 57">
          <a:extLst>
            <a:ext uri="{FF2B5EF4-FFF2-40B4-BE49-F238E27FC236}">
              <a16:creationId xmlns:a16="http://schemas.microsoft.com/office/drawing/2014/main" id="{00000000-0008-0000-0300-00003A000000}"/>
            </a:ext>
          </a:extLst>
        </xdr:cNvPr>
        <xdr:cNvGrpSpPr/>
      </xdr:nvGrpSpPr>
      <xdr:grpSpPr>
        <a:xfrm>
          <a:off x="27940001" y="25195089"/>
          <a:ext cx="4750770" cy="4796449"/>
          <a:chOff x="26913749" y="2942981"/>
          <a:chExt cx="5141539" cy="4786924"/>
        </a:xfrm>
      </xdr:grpSpPr>
      <xdr:pic>
        <xdr:nvPicPr>
          <xdr:cNvPr id="59" name="Imagen 58">
            <a:extLst>
              <a:ext uri="{FF2B5EF4-FFF2-40B4-BE49-F238E27FC236}">
                <a16:creationId xmlns:a16="http://schemas.microsoft.com/office/drawing/2014/main" id="{00000000-0008-0000-0300-00003B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3521" b="5060"/>
          <a:stretch/>
        </xdr:blipFill>
        <xdr:spPr>
          <a:xfrm>
            <a:off x="27537019" y="2942981"/>
            <a:ext cx="4518269" cy="4786924"/>
          </a:xfrm>
          <a:prstGeom prst="rect">
            <a:avLst/>
          </a:prstGeom>
        </xdr:spPr>
      </xdr:pic>
      <xdr:sp macro="" textlink="">
        <xdr:nvSpPr>
          <xdr:cNvPr id="60" name="Flecha derecha 59">
            <a:extLst>
              <a:ext uri="{FF2B5EF4-FFF2-40B4-BE49-F238E27FC236}">
                <a16:creationId xmlns:a16="http://schemas.microsoft.com/office/drawing/2014/main" id="{00000000-0008-0000-0300-00003C000000}"/>
              </a:ext>
            </a:extLst>
          </xdr:cNvPr>
          <xdr:cNvSpPr/>
        </xdr:nvSpPr>
        <xdr:spPr>
          <a:xfrm>
            <a:off x="26913749" y="7240953"/>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12</xdr:col>
      <xdr:colOff>0</xdr:colOff>
      <xdr:row>179</xdr:row>
      <xdr:rowOff>0</xdr:rowOff>
    </xdr:from>
    <xdr:to>
      <xdr:col>19</xdr:col>
      <xdr:colOff>146531</xdr:colOff>
      <xdr:row>202</xdr:row>
      <xdr:rowOff>108435</xdr:rowOff>
    </xdr:to>
    <xdr:grpSp>
      <xdr:nvGrpSpPr>
        <xdr:cNvPr id="67" name="Grupo 66">
          <a:extLst>
            <a:ext uri="{FF2B5EF4-FFF2-40B4-BE49-F238E27FC236}">
              <a16:creationId xmlns:a16="http://schemas.microsoft.com/office/drawing/2014/main" id="{00000000-0008-0000-0300-000043000000}"/>
            </a:ext>
          </a:extLst>
        </xdr:cNvPr>
        <xdr:cNvGrpSpPr/>
      </xdr:nvGrpSpPr>
      <xdr:grpSpPr>
        <a:xfrm>
          <a:off x="12492404" y="34973846"/>
          <a:ext cx="5507396" cy="4602281"/>
          <a:chOff x="12321449" y="2991825"/>
          <a:chExt cx="5446339" cy="4602281"/>
        </a:xfrm>
      </xdr:grpSpPr>
      <xdr:pic>
        <xdr:nvPicPr>
          <xdr:cNvPr id="68" name="Imagen 67">
            <a:extLst>
              <a:ext uri="{FF2B5EF4-FFF2-40B4-BE49-F238E27FC236}">
                <a16:creationId xmlns:a16="http://schemas.microsoft.com/office/drawing/2014/main" id="{00000000-0008-0000-0300-000044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52652"/>
          <a:stretch/>
        </xdr:blipFill>
        <xdr:spPr>
          <a:xfrm>
            <a:off x="12846539" y="2991825"/>
            <a:ext cx="4921249" cy="4602281"/>
          </a:xfrm>
          <a:prstGeom prst="rect">
            <a:avLst/>
          </a:prstGeom>
        </xdr:spPr>
      </xdr:pic>
      <xdr:sp macro="" textlink="">
        <xdr:nvSpPr>
          <xdr:cNvPr id="69" name="Flecha derecha 68">
            <a:extLst>
              <a:ext uri="{FF2B5EF4-FFF2-40B4-BE49-F238E27FC236}">
                <a16:creationId xmlns:a16="http://schemas.microsoft.com/office/drawing/2014/main" id="{00000000-0008-0000-0300-000045000000}"/>
              </a:ext>
            </a:extLst>
          </xdr:cNvPr>
          <xdr:cNvSpPr/>
        </xdr:nvSpPr>
        <xdr:spPr>
          <a:xfrm>
            <a:off x="12321449" y="5189903"/>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29</xdr:col>
      <xdr:colOff>134327</xdr:colOff>
      <xdr:row>179</xdr:row>
      <xdr:rowOff>12212</xdr:rowOff>
    </xdr:from>
    <xdr:to>
      <xdr:col>35</xdr:col>
      <xdr:colOff>37116</xdr:colOff>
      <xdr:row>203</xdr:row>
      <xdr:rowOff>119430</xdr:rowOff>
    </xdr:to>
    <xdr:grpSp>
      <xdr:nvGrpSpPr>
        <xdr:cNvPr id="70" name="Grupo 69">
          <a:extLst>
            <a:ext uri="{FF2B5EF4-FFF2-40B4-BE49-F238E27FC236}">
              <a16:creationId xmlns:a16="http://schemas.microsoft.com/office/drawing/2014/main" id="{00000000-0008-0000-0300-000046000000}"/>
            </a:ext>
          </a:extLst>
        </xdr:cNvPr>
        <xdr:cNvGrpSpPr/>
      </xdr:nvGrpSpPr>
      <xdr:grpSpPr>
        <a:xfrm>
          <a:off x="27524808" y="34986058"/>
          <a:ext cx="4750770" cy="4796449"/>
          <a:chOff x="26913749" y="2942981"/>
          <a:chExt cx="5141539" cy="4786924"/>
        </a:xfrm>
      </xdr:grpSpPr>
      <xdr:pic>
        <xdr:nvPicPr>
          <xdr:cNvPr id="71" name="Imagen 70">
            <a:extLst>
              <a:ext uri="{FF2B5EF4-FFF2-40B4-BE49-F238E27FC236}">
                <a16:creationId xmlns:a16="http://schemas.microsoft.com/office/drawing/2014/main" id="{00000000-0008-0000-0300-000047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t="3521" b="5060"/>
          <a:stretch/>
        </xdr:blipFill>
        <xdr:spPr>
          <a:xfrm>
            <a:off x="27537019" y="2942981"/>
            <a:ext cx="4518269" cy="4786924"/>
          </a:xfrm>
          <a:prstGeom prst="rect">
            <a:avLst/>
          </a:prstGeom>
        </xdr:spPr>
      </xdr:pic>
      <xdr:sp macro="" textlink="">
        <xdr:nvSpPr>
          <xdr:cNvPr id="72" name="Flecha derecha 71">
            <a:extLst>
              <a:ext uri="{FF2B5EF4-FFF2-40B4-BE49-F238E27FC236}">
                <a16:creationId xmlns:a16="http://schemas.microsoft.com/office/drawing/2014/main" id="{00000000-0008-0000-0300-000048000000}"/>
              </a:ext>
            </a:extLst>
          </xdr:cNvPr>
          <xdr:cNvSpPr/>
        </xdr:nvSpPr>
        <xdr:spPr>
          <a:xfrm>
            <a:off x="26913749" y="7240953"/>
            <a:ext cx="659423" cy="207596"/>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19</xdr:col>
      <xdr:colOff>354134</xdr:colOff>
      <xdr:row>128</xdr:row>
      <xdr:rowOff>134328</xdr:rowOff>
    </xdr:from>
    <xdr:to>
      <xdr:col>29</xdr:col>
      <xdr:colOff>573943</xdr:colOff>
      <xdr:row>152</xdr:row>
      <xdr:rowOff>128660</xdr:rowOff>
    </xdr:to>
    <xdr:grpSp>
      <xdr:nvGrpSpPr>
        <xdr:cNvPr id="2057" name="Grupo 2056">
          <a:extLst>
            <a:ext uri="{FF2B5EF4-FFF2-40B4-BE49-F238E27FC236}">
              <a16:creationId xmlns:a16="http://schemas.microsoft.com/office/drawing/2014/main" id="{00000000-0008-0000-0300-000009080000}"/>
            </a:ext>
          </a:extLst>
        </xdr:cNvPr>
        <xdr:cNvGrpSpPr/>
      </xdr:nvGrpSpPr>
      <xdr:grpSpPr>
        <a:xfrm>
          <a:off x="18207403" y="25143559"/>
          <a:ext cx="9757021" cy="4683563"/>
          <a:chOff x="18146346" y="25143559"/>
          <a:chExt cx="10037885" cy="4683563"/>
        </a:xfrm>
      </xdr:grpSpPr>
      <xdr:pic>
        <xdr:nvPicPr>
          <xdr:cNvPr id="2055" name="Imagen 2054">
            <a:extLst>
              <a:ext uri="{FF2B5EF4-FFF2-40B4-BE49-F238E27FC236}">
                <a16:creationId xmlns:a16="http://schemas.microsoft.com/office/drawing/2014/main" id="{00000000-0008-0000-0300-00000708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8268461" y="25143559"/>
            <a:ext cx="9915770" cy="4683563"/>
          </a:xfrm>
          <a:prstGeom prst="rect">
            <a:avLst/>
          </a:prstGeom>
        </xdr:spPr>
      </xdr:pic>
      <xdr:sp macro="" textlink="">
        <xdr:nvSpPr>
          <xdr:cNvPr id="61" name="Flecha derecha 60">
            <a:extLst>
              <a:ext uri="{FF2B5EF4-FFF2-40B4-BE49-F238E27FC236}">
                <a16:creationId xmlns:a16="http://schemas.microsoft.com/office/drawing/2014/main" id="{00000000-0008-0000-0300-00003D000000}"/>
              </a:ext>
            </a:extLst>
          </xdr:cNvPr>
          <xdr:cNvSpPr/>
        </xdr:nvSpPr>
        <xdr:spPr>
          <a:xfrm>
            <a:off x="18146346" y="28053312"/>
            <a:ext cx="659423" cy="205473"/>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19</xdr:col>
      <xdr:colOff>293076</xdr:colOff>
      <xdr:row>179</xdr:row>
      <xdr:rowOff>1</xdr:rowOff>
    </xdr:from>
    <xdr:to>
      <xdr:col>29</xdr:col>
      <xdr:colOff>142643</xdr:colOff>
      <xdr:row>202</xdr:row>
      <xdr:rowOff>48847</xdr:rowOff>
    </xdr:to>
    <xdr:grpSp>
      <xdr:nvGrpSpPr>
        <xdr:cNvPr id="2059" name="Grupo 2058">
          <a:extLst>
            <a:ext uri="{FF2B5EF4-FFF2-40B4-BE49-F238E27FC236}">
              <a16:creationId xmlns:a16="http://schemas.microsoft.com/office/drawing/2014/main" id="{00000000-0008-0000-0300-00000B080000}"/>
            </a:ext>
          </a:extLst>
        </xdr:cNvPr>
        <xdr:cNvGrpSpPr/>
      </xdr:nvGrpSpPr>
      <xdr:grpSpPr>
        <a:xfrm>
          <a:off x="18146345" y="34973847"/>
          <a:ext cx="9386779" cy="4542692"/>
          <a:chOff x="18085288" y="34973847"/>
          <a:chExt cx="9667643" cy="4542692"/>
        </a:xfrm>
      </xdr:grpSpPr>
      <xdr:pic>
        <xdr:nvPicPr>
          <xdr:cNvPr id="2058" name="Imagen 2057">
            <a:extLst>
              <a:ext uri="{FF2B5EF4-FFF2-40B4-BE49-F238E27FC236}">
                <a16:creationId xmlns:a16="http://schemas.microsoft.com/office/drawing/2014/main" id="{00000000-0008-0000-0300-00000A08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8402788" y="34973847"/>
            <a:ext cx="9350143" cy="4542692"/>
          </a:xfrm>
          <a:prstGeom prst="rect">
            <a:avLst/>
          </a:prstGeom>
        </xdr:spPr>
      </xdr:pic>
      <xdr:sp macro="" textlink="">
        <xdr:nvSpPr>
          <xdr:cNvPr id="73" name="Flecha derecha 72">
            <a:extLst>
              <a:ext uri="{FF2B5EF4-FFF2-40B4-BE49-F238E27FC236}">
                <a16:creationId xmlns:a16="http://schemas.microsoft.com/office/drawing/2014/main" id="{00000000-0008-0000-0300-000049000000}"/>
              </a:ext>
            </a:extLst>
          </xdr:cNvPr>
          <xdr:cNvSpPr/>
        </xdr:nvSpPr>
        <xdr:spPr>
          <a:xfrm>
            <a:off x="18085288" y="37149624"/>
            <a:ext cx="659423" cy="205473"/>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16</xdr:col>
      <xdr:colOff>190731</xdr:colOff>
      <xdr:row>9</xdr:row>
      <xdr:rowOff>9593</xdr:rowOff>
    </xdr:from>
    <xdr:to>
      <xdr:col>37</xdr:col>
      <xdr:colOff>574430</xdr:colOff>
      <xdr:row>14</xdr:row>
      <xdr:rowOff>73271</xdr:rowOff>
    </xdr:to>
    <xdr:grpSp>
      <xdr:nvGrpSpPr>
        <xdr:cNvPr id="2060" name="Grupo 2059">
          <a:extLst>
            <a:ext uri="{FF2B5EF4-FFF2-40B4-BE49-F238E27FC236}">
              <a16:creationId xmlns:a16="http://schemas.microsoft.com/office/drawing/2014/main" id="{00000000-0008-0000-0300-00000C080000}"/>
            </a:ext>
          </a:extLst>
        </xdr:cNvPr>
        <xdr:cNvGrpSpPr/>
      </xdr:nvGrpSpPr>
      <xdr:grpSpPr>
        <a:xfrm>
          <a:off x="15626116" y="1768055"/>
          <a:ext cx="18627737" cy="1040601"/>
          <a:chOff x="15455155" y="1853534"/>
          <a:chExt cx="17516487" cy="1040601"/>
        </a:xfrm>
      </xdr:grpSpPr>
      <xdr:pic>
        <xdr:nvPicPr>
          <xdr:cNvPr id="20" name="Imagen 19">
            <a:extLst>
              <a:ext uri="{FF2B5EF4-FFF2-40B4-BE49-F238E27FC236}">
                <a16:creationId xmlns:a16="http://schemas.microsoft.com/office/drawing/2014/main" id="{00000000-0008-0000-0300-000014000000}"/>
              </a:ext>
            </a:extLst>
          </xdr:cNvPr>
          <xdr:cNvPicPr>
            <a:picLocks noChangeAspect="1"/>
          </xdr:cNvPicPr>
        </xdr:nvPicPr>
        <xdr:blipFill rotWithShape="1">
          <a:blip xmlns:r="http://schemas.openxmlformats.org/officeDocument/2006/relationships" r:embed="rId7"/>
          <a:srcRect l="630" r="90073" b="32839"/>
          <a:stretch/>
        </xdr:blipFill>
        <xdr:spPr>
          <a:xfrm>
            <a:off x="15455155" y="1880153"/>
            <a:ext cx="1236505" cy="904078"/>
          </a:xfrm>
          <a:prstGeom prst="rect">
            <a:avLst/>
          </a:prstGeom>
        </xdr:spPr>
      </xdr:pic>
      <xdr:pic>
        <xdr:nvPicPr>
          <xdr:cNvPr id="79" name="Imagen 78">
            <a:extLst>
              <a:ext uri="{FF2B5EF4-FFF2-40B4-BE49-F238E27FC236}">
                <a16:creationId xmlns:a16="http://schemas.microsoft.com/office/drawing/2014/main" id="{00000000-0008-0000-0300-00004F000000}"/>
              </a:ext>
            </a:extLst>
          </xdr:cNvPr>
          <xdr:cNvPicPr>
            <a:picLocks noChangeAspect="1"/>
          </xdr:cNvPicPr>
        </xdr:nvPicPr>
        <xdr:blipFill rotWithShape="1">
          <a:blip xmlns:r="http://schemas.openxmlformats.org/officeDocument/2006/relationships" r:embed="rId7"/>
          <a:srcRect l="15063" t="1" r="79044" b="26326"/>
          <a:stretch/>
        </xdr:blipFill>
        <xdr:spPr>
          <a:xfrm>
            <a:off x="17809348" y="1865749"/>
            <a:ext cx="964713" cy="991752"/>
          </a:xfrm>
          <a:prstGeom prst="rect">
            <a:avLst/>
          </a:prstGeom>
        </xdr:spPr>
      </xdr:pic>
      <xdr:pic>
        <xdr:nvPicPr>
          <xdr:cNvPr id="83" name="Imagen 82">
            <a:extLst>
              <a:ext uri="{FF2B5EF4-FFF2-40B4-BE49-F238E27FC236}">
                <a16:creationId xmlns:a16="http://schemas.microsoft.com/office/drawing/2014/main" id="{00000000-0008-0000-0300-000053000000}"/>
              </a:ext>
            </a:extLst>
          </xdr:cNvPr>
          <xdr:cNvPicPr>
            <a:picLocks noChangeAspect="1"/>
          </xdr:cNvPicPr>
        </xdr:nvPicPr>
        <xdr:blipFill rotWithShape="1">
          <a:blip xmlns:r="http://schemas.openxmlformats.org/officeDocument/2006/relationships" r:embed="rId7"/>
          <a:srcRect l="25820" r="63984" b="29048"/>
          <a:stretch/>
        </xdr:blipFill>
        <xdr:spPr>
          <a:xfrm>
            <a:off x="19905363" y="1877958"/>
            <a:ext cx="1331058" cy="955118"/>
          </a:xfrm>
          <a:prstGeom prst="rect">
            <a:avLst/>
          </a:prstGeom>
        </xdr:spPr>
      </xdr:pic>
      <xdr:pic>
        <xdr:nvPicPr>
          <xdr:cNvPr id="85" name="Imagen 84" descr="https://tse2.mm.bing.net/th?id=OIP.Nm77iOoL8qJhE0QUe9fKLgHaHH&amp;pid=Api&amp;P=0&amp;h=180">
            <a:extLst>
              <a:ext uri="{FF2B5EF4-FFF2-40B4-BE49-F238E27FC236}">
                <a16:creationId xmlns:a16="http://schemas.microsoft.com/office/drawing/2014/main" id="{00000000-0008-0000-0300-000055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486" t="3889" r="8022" b="12222"/>
          <a:stretch/>
        </xdr:blipFill>
        <xdr:spPr bwMode="auto">
          <a:xfrm>
            <a:off x="32202019" y="1960700"/>
            <a:ext cx="769623" cy="707233"/>
          </a:xfrm>
          <a:prstGeom prst="rect">
            <a:avLst/>
          </a:prstGeom>
          <a:noFill/>
          <a:extLst>
            <a:ext uri="{909E8E84-426E-40DD-AFC4-6F175D3DCCD1}">
              <a14:hiddenFill xmlns:a14="http://schemas.microsoft.com/office/drawing/2010/main">
                <a:solidFill>
                  <a:srgbClr val="FFFFFF"/>
                </a:solidFill>
              </a14:hiddenFill>
            </a:ext>
          </a:extLst>
        </xdr:spPr>
      </xdr:pic>
      <xdr:pic>
        <xdr:nvPicPr>
          <xdr:cNvPr id="87" name="Imagen 86">
            <a:extLst>
              <a:ext uri="{FF2B5EF4-FFF2-40B4-BE49-F238E27FC236}">
                <a16:creationId xmlns:a16="http://schemas.microsoft.com/office/drawing/2014/main" id="{00000000-0008-0000-0300-000057000000}"/>
              </a:ext>
            </a:extLst>
          </xdr:cNvPr>
          <xdr:cNvPicPr>
            <a:picLocks noChangeAspect="1"/>
          </xdr:cNvPicPr>
        </xdr:nvPicPr>
        <xdr:blipFill rotWithShape="1">
          <a:blip xmlns:r="http://schemas.openxmlformats.org/officeDocument/2006/relationships" r:embed="rId7"/>
          <a:srcRect l="41255" r="47707" b="28140"/>
          <a:stretch/>
        </xdr:blipFill>
        <xdr:spPr>
          <a:xfrm>
            <a:off x="22383752" y="1902380"/>
            <a:ext cx="1440962" cy="967332"/>
          </a:xfrm>
          <a:prstGeom prst="rect">
            <a:avLst/>
          </a:prstGeom>
        </xdr:spPr>
      </xdr:pic>
      <xdr:pic>
        <xdr:nvPicPr>
          <xdr:cNvPr id="91" name="Imagen 90">
            <a:extLst>
              <a:ext uri="{FF2B5EF4-FFF2-40B4-BE49-F238E27FC236}">
                <a16:creationId xmlns:a16="http://schemas.microsoft.com/office/drawing/2014/main" id="{00000000-0008-0000-0300-00005B000000}"/>
              </a:ext>
            </a:extLst>
          </xdr:cNvPr>
          <xdr:cNvPicPr>
            <a:picLocks noChangeAspect="1"/>
          </xdr:cNvPicPr>
        </xdr:nvPicPr>
        <xdr:blipFill rotWithShape="1">
          <a:blip xmlns:r="http://schemas.openxmlformats.org/officeDocument/2006/relationships" r:embed="rId7"/>
          <a:srcRect l="57250" r="32835" b="27232"/>
          <a:stretch/>
        </xdr:blipFill>
        <xdr:spPr>
          <a:xfrm>
            <a:off x="25167980" y="1914590"/>
            <a:ext cx="1294423" cy="979545"/>
          </a:xfrm>
          <a:prstGeom prst="rect">
            <a:avLst/>
          </a:prstGeom>
        </xdr:spPr>
      </xdr:pic>
      <xdr:pic>
        <xdr:nvPicPr>
          <xdr:cNvPr id="95" name="Imagen 94">
            <a:extLst>
              <a:ext uri="{FF2B5EF4-FFF2-40B4-BE49-F238E27FC236}">
                <a16:creationId xmlns:a16="http://schemas.microsoft.com/office/drawing/2014/main" id="{00000000-0008-0000-0300-00005F000000}"/>
              </a:ext>
            </a:extLst>
          </xdr:cNvPr>
          <xdr:cNvPicPr>
            <a:picLocks noChangeAspect="1"/>
          </xdr:cNvPicPr>
        </xdr:nvPicPr>
        <xdr:blipFill rotWithShape="1">
          <a:blip xmlns:r="http://schemas.openxmlformats.org/officeDocument/2006/relationships" r:embed="rId7"/>
          <a:srcRect l="72217" r="22638" b="27233"/>
          <a:stretch/>
        </xdr:blipFill>
        <xdr:spPr>
          <a:xfrm>
            <a:off x="27732404" y="1914591"/>
            <a:ext cx="976923" cy="979544"/>
          </a:xfrm>
          <a:prstGeom prst="rect">
            <a:avLst/>
          </a:prstGeom>
        </xdr:spPr>
      </xdr:pic>
      <xdr:pic>
        <xdr:nvPicPr>
          <xdr:cNvPr id="99" name="Imagen 98">
            <a:extLst>
              <a:ext uri="{FF2B5EF4-FFF2-40B4-BE49-F238E27FC236}">
                <a16:creationId xmlns:a16="http://schemas.microsoft.com/office/drawing/2014/main" id="{00000000-0008-0000-0300-000063000000}"/>
              </a:ext>
            </a:extLst>
          </xdr:cNvPr>
          <xdr:cNvPicPr>
            <a:picLocks noChangeAspect="1"/>
          </xdr:cNvPicPr>
        </xdr:nvPicPr>
        <xdr:blipFill rotWithShape="1">
          <a:blip xmlns:r="http://schemas.openxmlformats.org/officeDocument/2006/relationships" r:embed="rId7"/>
          <a:srcRect l="82225" t="1" r="11133" b="29046"/>
          <a:stretch/>
        </xdr:blipFill>
        <xdr:spPr>
          <a:xfrm>
            <a:off x="29918270" y="1853534"/>
            <a:ext cx="1025769" cy="955120"/>
          </a:xfrm>
          <a:prstGeom prst="rect">
            <a:avLst/>
          </a:prstGeom>
        </xdr:spPr>
      </xdr:pic>
    </xdr:grpSp>
    <xdr:clientData/>
  </xdr:twoCellAnchor>
  <xdr:twoCellAnchor>
    <xdr:from>
      <xdr:col>16</xdr:col>
      <xdr:colOff>158750</xdr:colOff>
      <xdr:row>67</xdr:row>
      <xdr:rowOff>0</xdr:rowOff>
    </xdr:from>
    <xdr:to>
      <xdr:col>37</xdr:col>
      <xdr:colOff>542449</xdr:colOff>
      <xdr:row>72</xdr:row>
      <xdr:rowOff>63678</xdr:rowOff>
    </xdr:to>
    <xdr:grpSp>
      <xdr:nvGrpSpPr>
        <xdr:cNvPr id="103" name="Grupo 102">
          <a:extLst>
            <a:ext uri="{FF2B5EF4-FFF2-40B4-BE49-F238E27FC236}">
              <a16:creationId xmlns:a16="http://schemas.microsoft.com/office/drawing/2014/main" id="{00000000-0008-0000-0300-000067000000}"/>
            </a:ext>
          </a:extLst>
        </xdr:cNvPr>
        <xdr:cNvGrpSpPr/>
      </xdr:nvGrpSpPr>
      <xdr:grpSpPr>
        <a:xfrm>
          <a:off x="15594135" y="13090769"/>
          <a:ext cx="18627737" cy="1040601"/>
          <a:chOff x="15455155" y="1853534"/>
          <a:chExt cx="17516487" cy="1040601"/>
        </a:xfrm>
      </xdr:grpSpPr>
      <xdr:pic>
        <xdr:nvPicPr>
          <xdr:cNvPr id="104" name="Imagen 103">
            <a:extLst>
              <a:ext uri="{FF2B5EF4-FFF2-40B4-BE49-F238E27FC236}">
                <a16:creationId xmlns:a16="http://schemas.microsoft.com/office/drawing/2014/main" id="{00000000-0008-0000-0300-000068000000}"/>
              </a:ext>
            </a:extLst>
          </xdr:cNvPr>
          <xdr:cNvPicPr>
            <a:picLocks noChangeAspect="1"/>
          </xdr:cNvPicPr>
        </xdr:nvPicPr>
        <xdr:blipFill rotWithShape="1">
          <a:blip xmlns:r="http://schemas.openxmlformats.org/officeDocument/2006/relationships" r:embed="rId7"/>
          <a:srcRect l="630" r="90073" b="32839"/>
          <a:stretch/>
        </xdr:blipFill>
        <xdr:spPr>
          <a:xfrm>
            <a:off x="15455155" y="1880153"/>
            <a:ext cx="1236505" cy="904078"/>
          </a:xfrm>
          <a:prstGeom prst="rect">
            <a:avLst/>
          </a:prstGeom>
        </xdr:spPr>
      </xdr:pic>
      <xdr:pic>
        <xdr:nvPicPr>
          <xdr:cNvPr id="105" name="Imagen 104">
            <a:extLst>
              <a:ext uri="{FF2B5EF4-FFF2-40B4-BE49-F238E27FC236}">
                <a16:creationId xmlns:a16="http://schemas.microsoft.com/office/drawing/2014/main" id="{00000000-0008-0000-0300-000069000000}"/>
              </a:ext>
            </a:extLst>
          </xdr:cNvPr>
          <xdr:cNvPicPr>
            <a:picLocks noChangeAspect="1"/>
          </xdr:cNvPicPr>
        </xdr:nvPicPr>
        <xdr:blipFill rotWithShape="1">
          <a:blip xmlns:r="http://schemas.openxmlformats.org/officeDocument/2006/relationships" r:embed="rId7"/>
          <a:srcRect l="15063" t="1" r="79044" b="26326"/>
          <a:stretch/>
        </xdr:blipFill>
        <xdr:spPr>
          <a:xfrm>
            <a:off x="17809348" y="1865749"/>
            <a:ext cx="964713" cy="991752"/>
          </a:xfrm>
          <a:prstGeom prst="rect">
            <a:avLst/>
          </a:prstGeom>
        </xdr:spPr>
      </xdr:pic>
      <xdr:pic>
        <xdr:nvPicPr>
          <xdr:cNvPr id="106" name="Imagen 105">
            <a:extLst>
              <a:ext uri="{FF2B5EF4-FFF2-40B4-BE49-F238E27FC236}">
                <a16:creationId xmlns:a16="http://schemas.microsoft.com/office/drawing/2014/main" id="{00000000-0008-0000-0300-00006A000000}"/>
              </a:ext>
            </a:extLst>
          </xdr:cNvPr>
          <xdr:cNvPicPr>
            <a:picLocks noChangeAspect="1"/>
          </xdr:cNvPicPr>
        </xdr:nvPicPr>
        <xdr:blipFill rotWithShape="1">
          <a:blip xmlns:r="http://schemas.openxmlformats.org/officeDocument/2006/relationships" r:embed="rId7"/>
          <a:srcRect l="25820" r="63984" b="29048"/>
          <a:stretch/>
        </xdr:blipFill>
        <xdr:spPr>
          <a:xfrm>
            <a:off x="19905363" y="1877958"/>
            <a:ext cx="1331058" cy="955118"/>
          </a:xfrm>
          <a:prstGeom prst="rect">
            <a:avLst/>
          </a:prstGeom>
        </xdr:spPr>
      </xdr:pic>
      <xdr:pic>
        <xdr:nvPicPr>
          <xdr:cNvPr id="107" name="Imagen 106" descr="https://tse2.mm.bing.net/th?id=OIP.Nm77iOoL8qJhE0QUe9fKLgHaHH&amp;pid=Api&amp;P=0&amp;h=180">
            <a:extLst>
              <a:ext uri="{FF2B5EF4-FFF2-40B4-BE49-F238E27FC236}">
                <a16:creationId xmlns:a16="http://schemas.microsoft.com/office/drawing/2014/main" id="{00000000-0008-0000-0300-00006B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486" t="3889" r="8022" b="12222"/>
          <a:stretch/>
        </xdr:blipFill>
        <xdr:spPr bwMode="auto">
          <a:xfrm>
            <a:off x="32202019" y="1960700"/>
            <a:ext cx="769623" cy="707233"/>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08" name="Imagen 107">
            <a:extLst>
              <a:ext uri="{FF2B5EF4-FFF2-40B4-BE49-F238E27FC236}">
                <a16:creationId xmlns:a16="http://schemas.microsoft.com/office/drawing/2014/main" id="{00000000-0008-0000-0300-00006C000000}"/>
              </a:ext>
            </a:extLst>
          </xdr:cNvPr>
          <xdr:cNvPicPr>
            <a:picLocks noChangeAspect="1"/>
          </xdr:cNvPicPr>
        </xdr:nvPicPr>
        <xdr:blipFill rotWithShape="1">
          <a:blip xmlns:r="http://schemas.openxmlformats.org/officeDocument/2006/relationships" r:embed="rId7"/>
          <a:srcRect l="41255" r="47707" b="28140"/>
          <a:stretch/>
        </xdr:blipFill>
        <xdr:spPr>
          <a:xfrm>
            <a:off x="22383752" y="1902380"/>
            <a:ext cx="1440962" cy="967332"/>
          </a:xfrm>
          <a:prstGeom prst="rect">
            <a:avLst/>
          </a:prstGeom>
        </xdr:spPr>
      </xdr:pic>
      <xdr:pic>
        <xdr:nvPicPr>
          <xdr:cNvPr id="109" name="Imagen 108">
            <a:extLst>
              <a:ext uri="{FF2B5EF4-FFF2-40B4-BE49-F238E27FC236}">
                <a16:creationId xmlns:a16="http://schemas.microsoft.com/office/drawing/2014/main" id="{00000000-0008-0000-0300-00006D000000}"/>
              </a:ext>
            </a:extLst>
          </xdr:cNvPr>
          <xdr:cNvPicPr>
            <a:picLocks noChangeAspect="1"/>
          </xdr:cNvPicPr>
        </xdr:nvPicPr>
        <xdr:blipFill rotWithShape="1">
          <a:blip xmlns:r="http://schemas.openxmlformats.org/officeDocument/2006/relationships" r:embed="rId7"/>
          <a:srcRect l="57250" r="32835" b="27232"/>
          <a:stretch/>
        </xdr:blipFill>
        <xdr:spPr>
          <a:xfrm>
            <a:off x="25167980" y="1914590"/>
            <a:ext cx="1294423" cy="979545"/>
          </a:xfrm>
          <a:prstGeom prst="rect">
            <a:avLst/>
          </a:prstGeom>
        </xdr:spPr>
      </xdr:pic>
      <xdr:pic>
        <xdr:nvPicPr>
          <xdr:cNvPr id="110" name="Imagen 109">
            <a:extLst>
              <a:ext uri="{FF2B5EF4-FFF2-40B4-BE49-F238E27FC236}">
                <a16:creationId xmlns:a16="http://schemas.microsoft.com/office/drawing/2014/main" id="{00000000-0008-0000-0300-00006E000000}"/>
              </a:ext>
            </a:extLst>
          </xdr:cNvPr>
          <xdr:cNvPicPr>
            <a:picLocks noChangeAspect="1"/>
          </xdr:cNvPicPr>
        </xdr:nvPicPr>
        <xdr:blipFill rotWithShape="1">
          <a:blip xmlns:r="http://schemas.openxmlformats.org/officeDocument/2006/relationships" r:embed="rId7"/>
          <a:srcRect l="72217" r="22638" b="27233"/>
          <a:stretch/>
        </xdr:blipFill>
        <xdr:spPr>
          <a:xfrm>
            <a:off x="27732404" y="1914591"/>
            <a:ext cx="976923" cy="979544"/>
          </a:xfrm>
          <a:prstGeom prst="rect">
            <a:avLst/>
          </a:prstGeom>
        </xdr:spPr>
      </xdr:pic>
      <xdr:pic>
        <xdr:nvPicPr>
          <xdr:cNvPr id="111" name="Imagen 110">
            <a:extLst>
              <a:ext uri="{FF2B5EF4-FFF2-40B4-BE49-F238E27FC236}">
                <a16:creationId xmlns:a16="http://schemas.microsoft.com/office/drawing/2014/main" id="{00000000-0008-0000-0300-00006F000000}"/>
              </a:ext>
            </a:extLst>
          </xdr:cNvPr>
          <xdr:cNvPicPr>
            <a:picLocks noChangeAspect="1"/>
          </xdr:cNvPicPr>
        </xdr:nvPicPr>
        <xdr:blipFill rotWithShape="1">
          <a:blip xmlns:r="http://schemas.openxmlformats.org/officeDocument/2006/relationships" r:embed="rId7"/>
          <a:srcRect l="82225" t="1" r="11133" b="29046"/>
          <a:stretch/>
        </xdr:blipFill>
        <xdr:spPr>
          <a:xfrm>
            <a:off x="29918270" y="1853534"/>
            <a:ext cx="1025769" cy="955120"/>
          </a:xfrm>
          <a:prstGeom prst="rect">
            <a:avLst/>
          </a:prstGeom>
        </xdr:spPr>
      </xdr:pic>
    </xdr:grpSp>
    <xdr:clientData/>
  </xdr:twoCellAnchor>
  <xdr:twoCellAnchor>
    <xdr:from>
      <xdr:col>16</xdr:col>
      <xdr:colOff>170961</xdr:colOff>
      <xdr:row>117</xdr:row>
      <xdr:rowOff>48846</xdr:rowOff>
    </xdr:from>
    <xdr:to>
      <xdr:col>37</xdr:col>
      <xdr:colOff>554660</xdr:colOff>
      <xdr:row>122</xdr:row>
      <xdr:rowOff>112524</xdr:rowOff>
    </xdr:to>
    <xdr:grpSp>
      <xdr:nvGrpSpPr>
        <xdr:cNvPr id="112" name="Grupo 111">
          <a:extLst>
            <a:ext uri="{FF2B5EF4-FFF2-40B4-BE49-F238E27FC236}">
              <a16:creationId xmlns:a16="http://schemas.microsoft.com/office/drawing/2014/main" id="{00000000-0008-0000-0300-000070000000}"/>
            </a:ext>
          </a:extLst>
        </xdr:cNvPr>
        <xdr:cNvGrpSpPr/>
      </xdr:nvGrpSpPr>
      <xdr:grpSpPr>
        <a:xfrm>
          <a:off x="15606346" y="22908846"/>
          <a:ext cx="18627737" cy="1040601"/>
          <a:chOff x="15455155" y="1853534"/>
          <a:chExt cx="17516487" cy="1040601"/>
        </a:xfrm>
      </xdr:grpSpPr>
      <xdr:pic>
        <xdr:nvPicPr>
          <xdr:cNvPr id="113" name="Imagen 112">
            <a:extLst>
              <a:ext uri="{FF2B5EF4-FFF2-40B4-BE49-F238E27FC236}">
                <a16:creationId xmlns:a16="http://schemas.microsoft.com/office/drawing/2014/main" id="{00000000-0008-0000-0300-000071000000}"/>
              </a:ext>
            </a:extLst>
          </xdr:cNvPr>
          <xdr:cNvPicPr>
            <a:picLocks noChangeAspect="1"/>
          </xdr:cNvPicPr>
        </xdr:nvPicPr>
        <xdr:blipFill rotWithShape="1">
          <a:blip xmlns:r="http://schemas.openxmlformats.org/officeDocument/2006/relationships" r:embed="rId7"/>
          <a:srcRect l="630" r="90073" b="32839"/>
          <a:stretch/>
        </xdr:blipFill>
        <xdr:spPr>
          <a:xfrm>
            <a:off x="15455155" y="1880153"/>
            <a:ext cx="1236505" cy="904078"/>
          </a:xfrm>
          <a:prstGeom prst="rect">
            <a:avLst/>
          </a:prstGeom>
        </xdr:spPr>
      </xdr:pic>
      <xdr:pic>
        <xdr:nvPicPr>
          <xdr:cNvPr id="114" name="Imagen 113">
            <a:extLst>
              <a:ext uri="{FF2B5EF4-FFF2-40B4-BE49-F238E27FC236}">
                <a16:creationId xmlns:a16="http://schemas.microsoft.com/office/drawing/2014/main" id="{00000000-0008-0000-0300-000072000000}"/>
              </a:ext>
            </a:extLst>
          </xdr:cNvPr>
          <xdr:cNvPicPr>
            <a:picLocks noChangeAspect="1"/>
          </xdr:cNvPicPr>
        </xdr:nvPicPr>
        <xdr:blipFill rotWithShape="1">
          <a:blip xmlns:r="http://schemas.openxmlformats.org/officeDocument/2006/relationships" r:embed="rId7"/>
          <a:srcRect l="15063" t="1" r="79044" b="26326"/>
          <a:stretch/>
        </xdr:blipFill>
        <xdr:spPr>
          <a:xfrm>
            <a:off x="17809348" y="1865749"/>
            <a:ext cx="964713" cy="991752"/>
          </a:xfrm>
          <a:prstGeom prst="rect">
            <a:avLst/>
          </a:prstGeom>
        </xdr:spPr>
      </xdr:pic>
      <xdr:pic>
        <xdr:nvPicPr>
          <xdr:cNvPr id="115" name="Imagen 114">
            <a:extLst>
              <a:ext uri="{FF2B5EF4-FFF2-40B4-BE49-F238E27FC236}">
                <a16:creationId xmlns:a16="http://schemas.microsoft.com/office/drawing/2014/main" id="{00000000-0008-0000-0300-000073000000}"/>
              </a:ext>
            </a:extLst>
          </xdr:cNvPr>
          <xdr:cNvPicPr>
            <a:picLocks noChangeAspect="1"/>
          </xdr:cNvPicPr>
        </xdr:nvPicPr>
        <xdr:blipFill rotWithShape="1">
          <a:blip xmlns:r="http://schemas.openxmlformats.org/officeDocument/2006/relationships" r:embed="rId7"/>
          <a:srcRect l="25820" r="63984" b="29048"/>
          <a:stretch/>
        </xdr:blipFill>
        <xdr:spPr>
          <a:xfrm>
            <a:off x="19905363" y="1877958"/>
            <a:ext cx="1331058" cy="955118"/>
          </a:xfrm>
          <a:prstGeom prst="rect">
            <a:avLst/>
          </a:prstGeom>
        </xdr:spPr>
      </xdr:pic>
      <xdr:pic>
        <xdr:nvPicPr>
          <xdr:cNvPr id="116" name="Imagen 115" descr="https://tse2.mm.bing.net/th?id=OIP.Nm77iOoL8qJhE0QUe9fKLgHaHH&amp;pid=Api&amp;P=0&amp;h=180">
            <a:extLst>
              <a:ext uri="{FF2B5EF4-FFF2-40B4-BE49-F238E27FC236}">
                <a16:creationId xmlns:a16="http://schemas.microsoft.com/office/drawing/2014/main" id="{00000000-0008-0000-0300-000074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486" t="3889" r="8022" b="12222"/>
          <a:stretch/>
        </xdr:blipFill>
        <xdr:spPr bwMode="auto">
          <a:xfrm>
            <a:off x="32202019" y="1960700"/>
            <a:ext cx="769623" cy="707233"/>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17" name="Imagen 116">
            <a:extLst>
              <a:ext uri="{FF2B5EF4-FFF2-40B4-BE49-F238E27FC236}">
                <a16:creationId xmlns:a16="http://schemas.microsoft.com/office/drawing/2014/main" id="{00000000-0008-0000-0300-000075000000}"/>
              </a:ext>
            </a:extLst>
          </xdr:cNvPr>
          <xdr:cNvPicPr>
            <a:picLocks noChangeAspect="1"/>
          </xdr:cNvPicPr>
        </xdr:nvPicPr>
        <xdr:blipFill rotWithShape="1">
          <a:blip xmlns:r="http://schemas.openxmlformats.org/officeDocument/2006/relationships" r:embed="rId7"/>
          <a:srcRect l="41255" r="47707" b="28140"/>
          <a:stretch/>
        </xdr:blipFill>
        <xdr:spPr>
          <a:xfrm>
            <a:off x="22383752" y="1902380"/>
            <a:ext cx="1440962" cy="967332"/>
          </a:xfrm>
          <a:prstGeom prst="rect">
            <a:avLst/>
          </a:prstGeom>
        </xdr:spPr>
      </xdr:pic>
      <xdr:pic>
        <xdr:nvPicPr>
          <xdr:cNvPr id="118" name="Imagen 117">
            <a:extLst>
              <a:ext uri="{FF2B5EF4-FFF2-40B4-BE49-F238E27FC236}">
                <a16:creationId xmlns:a16="http://schemas.microsoft.com/office/drawing/2014/main" id="{00000000-0008-0000-0300-000076000000}"/>
              </a:ext>
            </a:extLst>
          </xdr:cNvPr>
          <xdr:cNvPicPr>
            <a:picLocks noChangeAspect="1"/>
          </xdr:cNvPicPr>
        </xdr:nvPicPr>
        <xdr:blipFill rotWithShape="1">
          <a:blip xmlns:r="http://schemas.openxmlformats.org/officeDocument/2006/relationships" r:embed="rId7"/>
          <a:srcRect l="57250" r="32835" b="27232"/>
          <a:stretch/>
        </xdr:blipFill>
        <xdr:spPr>
          <a:xfrm>
            <a:off x="25167980" y="1914590"/>
            <a:ext cx="1294423" cy="979545"/>
          </a:xfrm>
          <a:prstGeom prst="rect">
            <a:avLst/>
          </a:prstGeom>
        </xdr:spPr>
      </xdr:pic>
      <xdr:pic>
        <xdr:nvPicPr>
          <xdr:cNvPr id="119" name="Imagen 118">
            <a:extLst>
              <a:ext uri="{FF2B5EF4-FFF2-40B4-BE49-F238E27FC236}">
                <a16:creationId xmlns:a16="http://schemas.microsoft.com/office/drawing/2014/main" id="{00000000-0008-0000-0300-000077000000}"/>
              </a:ext>
            </a:extLst>
          </xdr:cNvPr>
          <xdr:cNvPicPr>
            <a:picLocks noChangeAspect="1"/>
          </xdr:cNvPicPr>
        </xdr:nvPicPr>
        <xdr:blipFill rotWithShape="1">
          <a:blip xmlns:r="http://schemas.openxmlformats.org/officeDocument/2006/relationships" r:embed="rId7"/>
          <a:srcRect l="72217" r="22638" b="27233"/>
          <a:stretch/>
        </xdr:blipFill>
        <xdr:spPr>
          <a:xfrm>
            <a:off x="27732404" y="1914591"/>
            <a:ext cx="976923" cy="979544"/>
          </a:xfrm>
          <a:prstGeom prst="rect">
            <a:avLst/>
          </a:prstGeom>
        </xdr:spPr>
      </xdr:pic>
      <xdr:pic>
        <xdr:nvPicPr>
          <xdr:cNvPr id="120" name="Imagen 119">
            <a:extLst>
              <a:ext uri="{FF2B5EF4-FFF2-40B4-BE49-F238E27FC236}">
                <a16:creationId xmlns:a16="http://schemas.microsoft.com/office/drawing/2014/main" id="{00000000-0008-0000-0300-000078000000}"/>
              </a:ext>
            </a:extLst>
          </xdr:cNvPr>
          <xdr:cNvPicPr>
            <a:picLocks noChangeAspect="1"/>
          </xdr:cNvPicPr>
        </xdr:nvPicPr>
        <xdr:blipFill rotWithShape="1">
          <a:blip xmlns:r="http://schemas.openxmlformats.org/officeDocument/2006/relationships" r:embed="rId7"/>
          <a:srcRect l="82225" t="1" r="11133" b="29046"/>
          <a:stretch/>
        </xdr:blipFill>
        <xdr:spPr>
          <a:xfrm>
            <a:off x="29918270" y="1853534"/>
            <a:ext cx="1025769" cy="955120"/>
          </a:xfrm>
          <a:prstGeom prst="rect">
            <a:avLst/>
          </a:prstGeom>
        </xdr:spPr>
      </xdr:pic>
    </xdr:grpSp>
    <xdr:clientData/>
  </xdr:twoCellAnchor>
  <xdr:twoCellAnchor>
    <xdr:from>
      <xdr:col>16</xdr:col>
      <xdr:colOff>146539</xdr:colOff>
      <xdr:row>166</xdr:row>
      <xdr:rowOff>24423</xdr:rowOff>
    </xdr:from>
    <xdr:to>
      <xdr:col>37</xdr:col>
      <xdr:colOff>530238</xdr:colOff>
      <xdr:row>171</xdr:row>
      <xdr:rowOff>88101</xdr:rowOff>
    </xdr:to>
    <xdr:grpSp>
      <xdr:nvGrpSpPr>
        <xdr:cNvPr id="121" name="Grupo 120">
          <a:extLst>
            <a:ext uri="{FF2B5EF4-FFF2-40B4-BE49-F238E27FC236}">
              <a16:creationId xmlns:a16="http://schemas.microsoft.com/office/drawing/2014/main" id="{00000000-0008-0000-0300-000079000000}"/>
            </a:ext>
          </a:extLst>
        </xdr:cNvPr>
        <xdr:cNvGrpSpPr/>
      </xdr:nvGrpSpPr>
      <xdr:grpSpPr>
        <a:xfrm>
          <a:off x="15581924" y="32458269"/>
          <a:ext cx="18627737" cy="1040601"/>
          <a:chOff x="15455155" y="1853534"/>
          <a:chExt cx="17516487" cy="1040601"/>
        </a:xfrm>
      </xdr:grpSpPr>
      <xdr:pic>
        <xdr:nvPicPr>
          <xdr:cNvPr id="122" name="Imagen 121">
            <a:extLst>
              <a:ext uri="{FF2B5EF4-FFF2-40B4-BE49-F238E27FC236}">
                <a16:creationId xmlns:a16="http://schemas.microsoft.com/office/drawing/2014/main" id="{00000000-0008-0000-0300-00007A000000}"/>
              </a:ext>
            </a:extLst>
          </xdr:cNvPr>
          <xdr:cNvPicPr>
            <a:picLocks noChangeAspect="1"/>
          </xdr:cNvPicPr>
        </xdr:nvPicPr>
        <xdr:blipFill rotWithShape="1">
          <a:blip xmlns:r="http://schemas.openxmlformats.org/officeDocument/2006/relationships" r:embed="rId7"/>
          <a:srcRect l="630" r="90073" b="32839"/>
          <a:stretch/>
        </xdr:blipFill>
        <xdr:spPr>
          <a:xfrm>
            <a:off x="15455155" y="1880153"/>
            <a:ext cx="1236505" cy="904078"/>
          </a:xfrm>
          <a:prstGeom prst="rect">
            <a:avLst/>
          </a:prstGeom>
        </xdr:spPr>
      </xdr:pic>
      <xdr:pic>
        <xdr:nvPicPr>
          <xdr:cNvPr id="123" name="Imagen 122">
            <a:extLst>
              <a:ext uri="{FF2B5EF4-FFF2-40B4-BE49-F238E27FC236}">
                <a16:creationId xmlns:a16="http://schemas.microsoft.com/office/drawing/2014/main" id="{00000000-0008-0000-0300-00007B000000}"/>
              </a:ext>
            </a:extLst>
          </xdr:cNvPr>
          <xdr:cNvPicPr>
            <a:picLocks noChangeAspect="1"/>
          </xdr:cNvPicPr>
        </xdr:nvPicPr>
        <xdr:blipFill rotWithShape="1">
          <a:blip xmlns:r="http://schemas.openxmlformats.org/officeDocument/2006/relationships" r:embed="rId7"/>
          <a:srcRect l="15063" t="1" r="79044" b="26326"/>
          <a:stretch/>
        </xdr:blipFill>
        <xdr:spPr>
          <a:xfrm>
            <a:off x="17809348" y="1865749"/>
            <a:ext cx="964713" cy="991752"/>
          </a:xfrm>
          <a:prstGeom prst="rect">
            <a:avLst/>
          </a:prstGeom>
        </xdr:spPr>
      </xdr:pic>
      <xdr:pic>
        <xdr:nvPicPr>
          <xdr:cNvPr id="124" name="Imagen 123">
            <a:extLst>
              <a:ext uri="{FF2B5EF4-FFF2-40B4-BE49-F238E27FC236}">
                <a16:creationId xmlns:a16="http://schemas.microsoft.com/office/drawing/2014/main" id="{00000000-0008-0000-0300-00007C000000}"/>
              </a:ext>
            </a:extLst>
          </xdr:cNvPr>
          <xdr:cNvPicPr>
            <a:picLocks noChangeAspect="1"/>
          </xdr:cNvPicPr>
        </xdr:nvPicPr>
        <xdr:blipFill rotWithShape="1">
          <a:blip xmlns:r="http://schemas.openxmlformats.org/officeDocument/2006/relationships" r:embed="rId7"/>
          <a:srcRect l="25820" r="63984" b="29048"/>
          <a:stretch/>
        </xdr:blipFill>
        <xdr:spPr>
          <a:xfrm>
            <a:off x="19905363" y="1877958"/>
            <a:ext cx="1331058" cy="955118"/>
          </a:xfrm>
          <a:prstGeom prst="rect">
            <a:avLst/>
          </a:prstGeom>
        </xdr:spPr>
      </xdr:pic>
      <xdr:pic>
        <xdr:nvPicPr>
          <xdr:cNvPr id="125" name="Imagen 124" descr="https://tse2.mm.bing.net/th?id=OIP.Nm77iOoL8qJhE0QUe9fKLgHaHH&amp;pid=Api&amp;P=0&amp;h=180">
            <a:extLst>
              <a:ext uri="{FF2B5EF4-FFF2-40B4-BE49-F238E27FC236}">
                <a16:creationId xmlns:a16="http://schemas.microsoft.com/office/drawing/2014/main" id="{00000000-0008-0000-0300-00007D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486" t="3889" r="8022" b="12222"/>
          <a:stretch/>
        </xdr:blipFill>
        <xdr:spPr bwMode="auto">
          <a:xfrm>
            <a:off x="32202019" y="1960700"/>
            <a:ext cx="769623" cy="707233"/>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26" name="Imagen 125">
            <a:extLst>
              <a:ext uri="{FF2B5EF4-FFF2-40B4-BE49-F238E27FC236}">
                <a16:creationId xmlns:a16="http://schemas.microsoft.com/office/drawing/2014/main" id="{00000000-0008-0000-0300-00007E000000}"/>
              </a:ext>
            </a:extLst>
          </xdr:cNvPr>
          <xdr:cNvPicPr>
            <a:picLocks noChangeAspect="1"/>
          </xdr:cNvPicPr>
        </xdr:nvPicPr>
        <xdr:blipFill rotWithShape="1">
          <a:blip xmlns:r="http://schemas.openxmlformats.org/officeDocument/2006/relationships" r:embed="rId7"/>
          <a:srcRect l="41255" r="47707" b="28140"/>
          <a:stretch/>
        </xdr:blipFill>
        <xdr:spPr>
          <a:xfrm>
            <a:off x="22383752" y="1902380"/>
            <a:ext cx="1440962" cy="967332"/>
          </a:xfrm>
          <a:prstGeom prst="rect">
            <a:avLst/>
          </a:prstGeom>
        </xdr:spPr>
      </xdr:pic>
      <xdr:pic>
        <xdr:nvPicPr>
          <xdr:cNvPr id="127" name="Imagen 126">
            <a:extLst>
              <a:ext uri="{FF2B5EF4-FFF2-40B4-BE49-F238E27FC236}">
                <a16:creationId xmlns:a16="http://schemas.microsoft.com/office/drawing/2014/main" id="{00000000-0008-0000-0300-00007F000000}"/>
              </a:ext>
            </a:extLst>
          </xdr:cNvPr>
          <xdr:cNvPicPr>
            <a:picLocks noChangeAspect="1"/>
          </xdr:cNvPicPr>
        </xdr:nvPicPr>
        <xdr:blipFill rotWithShape="1">
          <a:blip xmlns:r="http://schemas.openxmlformats.org/officeDocument/2006/relationships" r:embed="rId7"/>
          <a:srcRect l="57250" r="32835" b="27232"/>
          <a:stretch/>
        </xdr:blipFill>
        <xdr:spPr>
          <a:xfrm>
            <a:off x="25167980" y="1914590"/>
            <a:ext cx="1294423" cy="979545"/>
          </a:xfrm>
          <a:prstGeom prst="rect">
            <a:avLst/>
          </a:prstGeom>
        </xdr:spPr>
      </xdr:pic>
      <xdr:pic>
        <xdr:nvPicPr>
          <xdr:cNvPr id="128" name="Imagen 127">
            <a:extLst>
              <a:ext uri="{FF2B5EF4-FFF2-40B4-BE49-F238E27FC236}">
                <a16:creationId xmlns:a16="http://schemas.microsoft.com/office/drawing/2014/main" id="{00000000-0008-0000-0300-000080000000}"/>
              </a:ext>
            </a:extLst>
          </xdr:cNvPr>
          <xdr:cNvPicPr>
            <a:picLocks noChangeAspect="1"/>
          </xdr:cNvPicPr>
        </xdr:nvPicPr>
        <xdr:blipFill rotWithShape="1">
          <a:blip xmlns:r="http://schemas.openxmlformats.org/officeDocument/2006/relationships" r:embed="rId7"/>
          <a:srcRect l="72217" r="22638" b="27233"/>
          <a:stretch/>
        </xdr:blipFill>
        <xdr:spPr>
          <a:xfrm>
            <a:off x="27732404" y="1914591"/>
            <a:ext cx="976923" cy="979544"/>
          </a:xfrm>
          <a:prstGeom prst="rect">
            <a:avLst/>
          </a:prstGeom>
        </xdr:spPr>
      </xdr:pic>
      <xdr:pic>
        <xdr:nvPicPr>
          <xdr:cNvPr id="129" name="Imagen 128">
            <a:extLst>
              <a:ext uri="{FF2B5EF4-FFF2-40B4-BE49-F238E27FC236}">
                <a16:creationId xmlns:a16="http://schemas.microsoft.com/office/drawing/2014/main" id="{00000000-0008-0000-0300-000081000000}"/>
              </a:ext>
            </a:extLst>
          </xdr:cNvPr>
          <xdr:cNvPicPr>
            <a:picLocks noChangeAspect="1"/>
          </xdr:cNvPicPr>
        </xdr:nvPicPr>
        <xdr:blipFill rotWithShape="1">
          <a:blip xmlns:r="http://schemas.openxmlformats.org/officeDocument/2006/relationships" r:embed="rId7"/>
          <a:srcRect l="82225" t="1" r="11133" b="29046"/>
          <a:stretch/>
        </xdr:blipFill>
        <xdr:spPr>
          <a:xfrm>
            <a:off x="29918270" y="1853534"/>
            <a:ext cx="1025769" cy="955120"/>
          </a:xfrm>
          <a:prstGeom prst="rect">
            <a:avLst/>
          </a:prstGeom>
        </xdr:spPr>
      </xdr:pic>
    </xdr:grpSp>
    <xdr:clientData/>
  </xdr:twoCellAnchor>
  <xdr:twoCellAnchor editAs="oneCell">
    <xdr:from>
      <xdr:col>37</xdr:col>
      <xdr:colOff>134327</xdr:colOff>
      <xdr:row>178</xdr:row>
      <xdr:rowOff>183171</xdr:rowOff>
    </xdr:from>
    <xdr:to>
      <xdr:col>43</xdr:col>
      <xdr:colOff>575120</xdr:colOff>
      <xdr:row>207</xdr:row>
      <xdr:rowOff>183171</xdr:rowOff>
    </xdr:to>
    <xdr:pic>
      <xdr:nvPicPr>
        <xdr:cNvPr id="2062" name="Imagen 2061">
          <a:extLst>
            <a:ext uri="{FF2B5EF4-FFF2-40B4-BE49-F238E27FC236}">
              <a16:creationId xmlns:a16="http://schemas.microsoft.com/office/drawing/2014/main" id="{00000000-0008-0000-0300-00000E080000}"/>
            </a:ext>
          </a:extLst>
        </xdr:cNvPr>
        <xdr:cNvPicPr>
          <a:picLocks noChangeAspect="1"/>
        </xdr:cNvPicPr>
      </xdr:nvPicPr>
      <xdr:blipFill rotWithShape="1">
        <a:blip xmlns:r="http://schemas.openxmlformats.org/officeDocument/2006/relationships" r:embed="rId9"/>
        <a:srcRect b="6626"/>
        <a:stretch/>
      </xdr:blipFill>
      <xdr:spPr>
        <a:xfrm>
          <a:off x="33813750" y="34961633"/>
          <a:ext cx="4934639" cy="5666153"/>
        </a:xfrm>
        <a:prstGeom prst="rect">
          <a:avLst/>
        </a:prstGeom>
      </xdr:spPr>
    </xdr:pic>
    <xdr:clientData/>
  </xdr:twoCellAnchor>
  <xdr:twoCellAnchor editAs="oneCell">
    <xdr:from>
      <xdr:col>36</xdr:col>
      <xdr:colOff>244230</xdr:colOff>
      <xdr:row>129</xdr:row>
      <xdr:rowOff>2686</xdr:rowOff>
    </xdr:from>
    <xdr:to>
      <xdr:col>42</xdr:col>
      <xdr:colOff>704075</xdr:colOff>
      <xdr:row>159</xdr:row>
      <xdr:rowOff>85575</xdr:rowOff>
    </xdr:to>
    <xdr:pic>
      <xdr:nvPicPr>
        <xdr:cNvPr id="2063" name="Imagen 2062">
          <a:extLst>
            <a:ext uri="{FF2B5EF4-FFF2-40B4-BE49-F238E27FC236}">
              <a16:creationId xmlns:a16="http://schemas.microsoft.com/office/drawing/2014/main" id="{00000000-0008-0000-0300-00000F080000}"/>
            </a:ext>
          </a:extLst>
        </xdr:cNvPr>
        <xdr:cNvPicPr>
          <a:picLocks noChangeAspect="1"/>
        </xdr:cNvPicPr>
      </xdr:nvPicPr>
      <xdr:blipFill>
        <a:blip xmlns:r="http://schemas.openxmlformats.org/officeDocument/2006/relationships" r:embed="rId10"/>
        <a:stretch>
          <a:fillRect/>
        </a:stretch>
      </xdr:blipFill>
      <xdr:spPr>
        <a:xfrm>
          <a:off x="33203172" y="25207301"/>
          <a:ext cx="4953691" cy="5944428"/>
        </a:xfrm>
        <a:prstGeom prst="rect">
          <a:avLst/>
        </a:prstGeom>
      </xdr:spPr>
    </xdr:pic>
    <xdr:clientData/>
  </xdr:twoCellAnchor>
  <xdr:twoCellAnchor editAs="oneCell">
    <xdr:from>
      <xdr:col>35</xdr:col>
      <xdr:colOff>622788</xdr:colOff>
      <xdr:row>28</xdr:row>
      <xdr:rowOff>0</xdr:rowOff>
    </xdr:from>
    <xdr:to>
      <xdr:col>42</xdr:col>
      <xdr:colOff>324048</xdr:colOff>
      <xdr:row>53</xdr:row>
      <xdr:rowOff>88128</xdr:rowOff>
    </xdr:to>
    <xdr:pic>
      <xdr:nvPicPr>
        <xdr:cNvPr id="2065" name="Imagen 2064">
          <a:extLst>
            <a:ext uri="{FF2B5EF4-FFF2-40B4-BE49-F238E27FC236}">
              <a16:creationId xmlns:a16="http://schemas.microsoft.com/office/drawing/2014/main" id="{00000000-0008-0000-0300-000011080000}"/>
            </a:ext>
          </a:extLst>
        </xdr:cNvPr>
        <xdr:cNvPicPr>
          <a:picLocks noChangeAspect="1"/>
        </xdr:cNvPicPr>
      </xdr:nvPicPr>
      <xdr:blipFill>
        <a:blip xmlns:r="http://schemas.openxmlformats.org/officeDocument/2006/relationships" r:embed="rId11"/>
        <a:stretch>
          <a:fillRect/>
        </a:stretch>
      </xdr:blipFill>
      <xdr:spPr>
        <a:xfrm>
          <a:off x="32861250" y="5470769"/>
          <a:ext cx="4915586" cy="4972744"/>
        </a:xfrm>
        <a:prstGeom prst="rect">
          <a:avLst/>
        </a:prstGeom>
      </xdr:spPr>
    </xdr:pic>
    <xdr:clientData/>
  </xdr:twoCellAnchor>
  <xdr:oneCellAnchor>
    <xdr:from>
      <xdr:col>16</xdr:col>
      <xdr:colOff>0</xdr:colOff>
      <xdr:row>72</xdr:row>
      <xdr:rowOff>0</xdr:rowOff>
    </xdr:from>
    <xdr:ext cx="304800" cy="309684"/>
    <xdr:sp macro="" textlink="">
      <xdr:nvSpPr>
        <xdr:cNvPr id="82" name="AutoShape 1" descr="blob:https://web.whatsapp.com/9db3c01e-9c22-4238-98f0-6f1472e5ffa6">
          <a:extLst>
            <a:ext uri="{FF2B5EF4-FFF2-40B4-BE49-F238E27FC236}">
              <a16:creationId xmlns:a16="http://schemas.microsoft.com/office/drawing/2014/main" id="{00000000-0008-0000-0300-000052000000}"/>
            </a:ext>
          </a:extLst>
        </xdr:cNvPr>
        <xdr:cNvSpPr>
          <a:spLocks noChangeAspect="1" noChangeArrowheads="1"/>
        </xdr:cNvSpPr>
      </xdr:nvSpPr>
      <xdr:spPr bwMode="auto">
        <a:xfrm>
          <a:off x="15435385" y="2735385"/>
          <a:ext cx="304800" cy="30968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16</xdr:col>
      <xdr:colOff>0</xdr:colOff>
      <xdr:row>72</xdr:row>
      <xdr:rowOff>0</xdr:rowOff>
    </xdr:from>
    <xdr:ext cx="304800" cy="309684"/>
    <xdr:sp macro="" textlink="">
      <xdr:nvSpPr>
        <xdr:cNvPr id="84" name="AutoShape 2" descr="blob:https://web.whatsapp.com/9db3c01e-9c22-4238-98f0-6f1472e5ffa6">
          <a:extLst>
            <a:ext uri="{FF2B5EF4-FFF2-40B4-BE49-F238E27FC236}">
              <a16:creationId xmlns:a16="http://schemas.microsoft.com/office/drawing/2014/main" id="{00000000-0008-0000-0300-000054000000}"/>
            </a:ext>
          </a:extLst>
        </xdr:cNvPr>
        <xdr:cNvSpPr>
          <a:spLocks noChangeAspect="1" noChangeArrowheads="1"/>
        </xdr:cNvSpPr>
      </xdr:nvSpPr>
      <xdr:spPr bwMode="auto">
        <a:xfrm>
          <a:off x="15435385" y="2735385"/>
          <a:ext cx="304800" cy="30968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16</xdr:col>
      <xdr:colOff>0</xdr:colOff>
      <xdr:row>122</xdr:row>
      <xdr:rowOff>0</xdr:rowOff>
    </xdr:from>
    <xdr:ext cx="304800" cy="309684"/>
    <xdr:sp macro="" textlink="">
      <xdr:nvSpPr>
        <xdr:cNvPr id="86" name="AutoShape 1" descr="blob:https://web.whatsapp.com/9db3c01e-9c22-4238-98f0-6f1472e5ffa6">
          <a:extLst>
            <a:ext uri="{FF2B5EF4-FFF2-40B4-BE49-F238E27FC236}">
              <a16:creationId xmlns:a16="http://schemas.microsoft.com/office/drawing/2014/main" id="{00000000-0008-0000-0300-000056000000}"/>
            </a:ext>
          </a:extLst>
        </xdr:cNvPr>
        <xdr:cNvSpPr>
          <a:spLocks noChangeAspect="1" noChangeArrowheads="1"/>
        </xdr:cNvSpPr>
      </xdr:nvSpPr>
      <xdr:spPr bwMode="auto">
        <a:xfrm>
          <a:off x="15435385" y="2735385"/>
          <a:ext cx="304800" cy="30968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16</xdr:col>
      <xdr:colOff>0</xdr:colOff>
      <xdr:row>122</xdr:row>
      <xdr:rowOff>0</xdr:rowOff>
    </xdr:from>
    <xdr:ext cx="304800" cy="309684"/>
    <xdr:sp macro="" textlink="">
      <xdr:nvSpPr>
        <xdr:cNvPr id="88" name="AutoShape 2" descr="blob:https://web.whatsapp.com/9db3c01e-9c22-4238-98f0-6f1472e5ffa6">
          <a:extLst>
            <a:ext uri="{FF2B5EF4-FFF2-40B4-BE49-F238E27FC236}">
              <a16:creationId xmlns:a16="http://schemas.microsoft.com/office/drawing/2014/main" id="{00000000-0008-0000-0300-000058000000}"/>
            </a:ext>
          </a:extLst>
        </xdr:cNvPr>
        <xdr:cNvSpPr>
          <a:spLocks noChangeAspect="1" noChangeArrowheads="1"/>
        </xdr:cNvSpPr>
      </xdr:nvSpPr>
      <xdr:spPr bwMode="auto">
        <a:xfrm>
          <a:off x="15435385" y="2735385"/>
          <a:ext cx="304800" cy="30968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16</xdr:col>
      <xdr:colOff>0</xdr:colOff>
      <xdr:row>171</xdr:row>
      <xdr:rowOff>0</xdr:rowOff>
    </xdr:from>
    <xdr:ext cx="304800" cy="309684"/>
    <xdr:sp macro="" textlink="">
      <xdr:nvSpPr>
        <xdr:cNvPr id="89" name="AutoShape 1" descr="blob:https://web.whatsapp.com/9db3c01e-9c22-4238-98f0-6f1472e5ffa6">
          <a:extLst>
            <a:ext uri="{FF2B5EF4-FFF2-40B4-BE49-F238E27FC236}">
              <a16:creationId xmlns:a16="http://schemas.microsoft.com/office/drawing/2014/main" id="{00000000-0008-0000-0300-000059000000}"/>
            </a:ext>
          </a:extLst>
        </xdr:cNvPr>
        <xdr:cNvSpPr>
          <a:spLocks noChangeAspect="1" noChangeArrowheads="1"/>
        </xdr:cNvSpPr>
      </xdr:nvSpPr>
      <xdr:spPr bwMode="auto">
        <a:xfrm>
          <a:off x="15435385" y="2735385"/>
          <a:ext cx="304800" cy="30968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16</xdr:col>
      <xdr:colOff>0</xdr:colOff>
      <xdr:row>171</xdr:row>
      <xdr:rowOff>0</xdr:rowOff>
    </xdr:from>
    <xdr:ext cx="304800" cy="309684"/>
    <xdr:sp macro="" textlink="">
      <xdr:nvSpPr>
        <xdr:cNvPr id="90" name="AutoShape 2" descr="blob:https://web.whatsapp.com/9db3c01e-9c22-4238-98f0-6f1472e5ffa6">
          <a:extLst>
            <a:ext uri="{FF2B5EF4-FFF2-40B4-BE49-F238E27FC236}">
              <a16:creationId xmlns:a16="http://schemas.microsoft.com/office/drawing/2014/main" id="{00000000-0008-0000-0300-00005A000000}"/>
            </a:ext>
          </a:extLst>
        </xdr:cNvPr>
        <xdr:cNvSpPr>
          <a:spLocks noChangeAspect="1" noChangeArrowheads="1"/>
        </xdr:cNvSpPr>
      </xdr:nvSpPr>
      <xdr:spPr bwMode="auto">
        <a:xfrm>
          <a:off x="15435385" y="2735385"/>
          <a:ext cx="304800" cy="309684"/>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editAs="oneCell">
    <xdr:from>
      <xdr:col>36</xdr:col>
      <xdr:colOff>170962</xdr:colOff>
      <xdr:row>81</xdr:row>
      <xdr:rowOff>36634</xdr:rowOff>
    </xdr:from>
    <xdr:to>
      <xdr:col>42</xdr:col>
      <xdr:colOff>640334</xdr:colOff>
      <xdr:row>95</xdr:row>
      <xdr:rowOff>111517</xdr:rowOff>
    </xdr:to>
    <xdr:pic>
      <xdr:nvPicPr>
        <xdr:cNvPr id="2" name="Imagen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2"/>
        <a:stretch>
          <a:fillRect/>
        </a:stretch>
      </xdr:blipFill>
      <xdr:spPr>
        <a:xfrm>
          <a:off x="33129904" y="15862788"/>
          <a:ext cx="4963218" cy="281026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27</xdr:row>
      <xdr:rowOff>0</xdr:rowOff>
    </xdr:from>
    <xdr:to>
      <xdr:col>1</xdr:col>
      <xdr:colOff>304800</xdr:colOff>
      <xdr:row>28</xdr:row>
      <xdr:rowOff>114300</xdr:rowOff>
    </xdr:to>
    <xdr:sp macro="" textlink="">
      <xdr:nvSpPr>
        <xdr:cNvPr id="2" name="AutoShape 1" descr="blob:https://web.whatsapp.com/9db3c01e-9c22-4238-98f0-6f1472e5ffa6">
          <a:extLst>
            <a:ext uri="{FF2B5EF4-FFF2-40B4-BE49-F238E27FC236}">
              <a16:creationId xmlns:a16="http://schemas.microsoft.com/office/drawing/2014/main" id="{00000000-0008-0000-0400-000002000000}"/>
            </a:ext>
          </a:extLst>
        </xdr:cNvPr>
        <xdr:cNvSpPr>
          <a:spLocks noChangeAspect="1" noChangeArrowheads="1"/>
        </xdr:cNvSpPr>
      </xdr:nvSpPr>
      <xdr:spPr bwMode="auto">
        <a:xfrm>
          <a:off x="15420975" y="2667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0</xdr:colOff>
      <xdr:row>27</xdr:row>
      <xdr:rowOff>0</xdr:rowOff>
    </xdr:from>
    <xdr:to>
      <xdr:col>1</xdr:col>
      <xdr:colOff>304800</xdr:colOff>
      <xdr:row>28</xdr:row>
      <xdr:rowOff>114300</xdr:rowOff>
    </xdr:to>
    <xdr:sp macro="" textlink="">
      <xdr:nvSpPr>
        <xdr:cNvPr id="3" name="AutoShape 2" descr="blob:https://web.whatsapp.com/9db3c01e-9c22-4238-98f0-6f1472e5ffa6">
          <a:extLst>
            <a:ext uri="{FF2B5EF4-FFF2-40B4-BE49-F238E27FC236}">
              <a16:creationId xmlns:a16="http://schemas.microsoft.com/office/drawing/2014/main" id="{00000000-0008-0000-0400-000003000000}"/>
            </a:ext>
          </a:extLst>
        </xdr:cNvPr>
        <xdr:cNvSpPr>
          <a:spLocks noChangeAspect="1" noChangeArrowheads="1"/>
        </xdr:cNvSpPr>
      </xdr:nvSpPr>
      <xdr:spPr bwMode="auto">
        <a:xfrm>
          <a:off x="15420975" y="2667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15</xdr:col>
      <xdr:colOff>99201</xdr:colOff>
      <xdr:row>33</xdr:row>
      <xdr:rowOff>35079</xdr:rowOff>
    </xdr:from>
    <xdr:to>
      <xdr:col>21</xdr:col>
      <xdr:colOff>306892</xdr:colOff>
      <xdr:row>57</xdr:row>
      <xdr:rowOff>125683</xdr:rowOff>
    </xdr:to>
    <xdr:grpSp>
      <xdr:nvGrpSpPr>
        <xdr:cNvPr id="22" name="Grupo 21">
          <a:extLst>
            <a:ext uri="{FF2B5EF4-FFF2-40B4-BE49-F238E27FC236}">
              <a16:creationId xmlns:a16="http://schemas.microsoft.com/office/drawing/2014/main" id="{00000000-0008-0000-0400-000016000000}"/>
            </a:ext>
          </a:extLst>
        </xdr:cNvPr>
        <xdr:cNvGrpSpPr/>
      </xdr:nvGrpSpPr>
      <xdr:grpSpPr>
        <a:xfrm>
          <a:off x="19218896" y="6563189"/>
          <a:ext cx="4807569" cy="4551092"/>
          <a:chOff x="14420850" y="6200775"/>
          <a:chExt cx="4781550" cy="4667250"/>
        </a:xfrm>
      </xdr:grpSpPr>
      <xdr:pic>
        <xdr:nvPicPr>
          <xdr:cNvPr id="17" name="Imagen 16">
            <a:extLst>
              <a:ext uri="{FF2B5EF4-FFF2-40B4-BE49-F238E27FC236}">
                <a16:creationId xmlns:a16="http://schemas.microsoft.com/office/drawing/2014/main" id="{00000000-0008-0000-0400-000011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3883" b="5298"/>
          <a:stretch/>
        </xdr:blipFill>
        <xdr:spPr>
          <a:xfrm>
            <a:off x="14725651" y="6200775"/>
            <a:ext cx="4476749" cy="4667250"/>
          </a:xfrm>
          <a:prstGeom prst="rect">
            <a:avLst/>
          </a:prstGeom>
        </xdr:spPr>
      </xdr:pic>
      <xdr:sp macro="" textlink="">
        <xdr:nvSpPr>
          <xdr:cNvPr id="18" name="Flecha derecha 17">
            <a:extLst>
              <a:ext uri="{FF2B5EF4-FFF2-40B4-BE49-F238E27FC236}">
                <a16:creationId xmlns:a16="http://schemas.microsoft.com/office/drawing/2014/main" id="{00000000-0008-0000-0400-000012000000}"/>
              </a:ext>
            </a:extLst>
          </xdr:cNvPr>
          <xdr:cNvSpPr/>
        </xdr:nvSpPr>
        <xdr:spPr>
          <a:xfrm>
            <a:off x="14420850" y="10572750"/>
            <a:ext cx="409575" cy="152400"/>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0</xdr:col>
      <xdr:colOff>0</xdr:colOff>
      <xdr:row>33</xdr:row>
      <xdr:rowOff>66675</xdr:rowOff>
    </xdr:from>
    <xdr:to>
      <xdr:col>7</xdr:col>
      <xdr:colOff>1035232</xdr:colOff>
      <xdr:row>52</xdr:row>
      <xdr:rowOff>124818</xdr:rowOff>
    </xdr:to>
    <xdr:grpSp>
      <xdr:nvGrpSpPr>
        <xdr:cNvPr id="20" name="Grupo 19">
          <a:extLst>
            <a:ext uri="{FF2B5EF4-FFF2-40B4-BE49-F238E27FC236}">
              <a16:creationId xmlns:a16="http://schemas.microsoft.com/office/drawing/2014/main" id="{00000000-0008-0000-0400-000014000000}"/>
            </a:ext>
          </a:extLst>
        </xdr:cNvPr>
        <xdr:cNvGrpSpPr/>
      </xdr:nvGrpSpPr>
      <xdr:grpSpPr>
        <a:xfrm>
          <a:off x="0" y="6594785"/>
          <a:ext cx="7354256" cy="3589362"/>
          <a:chOff x="0" y="6162675"/>
          <a:chExt cx="6921682" cy="3677643"/>
        </a:xfrm>
      </xdr:grpSpPr>
      <xdr:pic>
        <xdr:nvPicPr>
          <xdr:cNvPr id="13" name="Imagen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2"/>
          <a:stretch>
            <a:fillRect/>
          </a:stretch>
        </xdr:blipFill>
        <xdr:spPr>
          <a:xfrm>
            <a:off x="180975" y="6162675"/>
            <a:ext cx="6740707" cy="3677643"/>
          </a:xfrm>
          <a:prstGeom prst="rect">
            <a:avLst/>
          </a:prstGeom>
        </xdr:spPr>
      </xdr:pic>
      <xdr:sp macro="" textlink="">
        <xdr:nvSpPr>
          <xdr:cNvPr id="19" name="Flecha derecha 18">
            <a:extLst>
              <a:ext uri="{FF2B5EF4-FFF2-40B4-BE49-F238E27FC236}">
                <a16:creationId xmlns:a16="http://schemas.microsoft.com/office/drawing/2014/main" id="{00000000-0008-0000-0400-000013000000}"/>
              </a:ext>
            </a:extLst>
          </xdr:cNvPr>
          <xdr:cNvSpPr/>
        </xdr:nvSpPr>
        <xdr:spPr>
          <a:xfrm>
            <a:off x="0" y="8210550"/>
            <a:ext cx="409575" cy="152400"/>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editAs="oneCell">
    <xdr:from>
      <xdr:col>8</xdr:col>
      <xdr:colOff>716241</xdr:colOff>
      <xdr:row>33</xdr:row>
      <xdr:rowOff>36009</xdr:rowOff>
    </xdr:from>
    <xdr:to>
      <xdr:col>10</xdr:col>
      <xdr:colOff>3379394</xdr:colOff>
      <xdr:row>50</xdr:row>
      <xdr:rowOff>81312</xdr:rowOff>
    </xdr:to>
    <xdr:pic>
      <xdr:nvPicPr>
        <xdr:cNvPr id="23" name="Imagen 22">
          <a:extLst>
            <a:ext uri="{FF2B5EF4-FFF2-40B4-BE49-F238E27FC236}">
              <a16:creationId xmlns:a16="http://schemas.microsoft.com/office/drawing/2014/main" id="{00000000-0008-0000-0400-000017000000}"/>
            </a:ext>
          </a:extLst>
        </xdr:cNvPr>
        <xdr:cNvPicPr>
          <a:picLocks noChangeAspect="1"/>
        </xdr:cNvPicPr>
      </xdr:nvPicPr>
      <xdr:blipFill>
        <a:blip xmlns:r="http://schemas.openxmlformats.org/officeDocument/2006/relationships" r:embed="rId3"/>
        <a:stretch>
          <a:fillRect/>
        </a:stretch>
      </xdr:blipFill>
      <xdr:spPr>
        <a:xfrm>
          <a:off x="8080692" y="6761588"/>
          <a:ext cx="5381263" cy="3204815"/>
        </a:xfrm>
        <a:prstGeom prst="rect">
          <a:avLst/>
        </a:prstGeom>
      </xdr:spPr>
    </xdr:pic>
    <xdr:clientData/>
  </xdr:twoCellAnchor>
  <xdr:twoCellAnchor>
    <xdr:from>
      <xdr:col>8</xdr:col>
      <xdr:colOff>484847</xdr:colOff>
      <xdr:row>48</xdr:row>
      <xdr:rowOff>160764</xdr:rowOff>
    </xdr:from>
    <xdr:to>
      <xdr:col>8</xdr:col>
      <xdr:colOff>894422</xdr:colOff>
      <xdr:row>49</xdr:row>
      <xdr:rowOff>122663</xdr:rowOff>
    </xdr:to>
    <xdr:sp macro="" textlink="">
      <xdr:nvSpPr>
        <xdr:cNvPr id="24" name="Flecha derecha 23">
          <a:extLst>
            <a:ext uri="{FF2B5EF4-FFF2-40B4-BE49-F238E27FC236}">
              <a16:creationId xmlns:a16="http://schemas.microsoft.com/office/drawing/2014/main" id="{00000000-0008-0000-0400-000018000000}"/>
            </a:ext>
          </a:extLst>
        </xdr:cNvPr>
        <xdr:cNvSpPr/>
      </xdr:nvSpPr>
      <xdr:spPr>
        <a:xfrm>
          <a:off x="7849298" y="9674148"/>
          <a:ext cx="409575" cy="147753"/>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0</xdr:col>
      <xdr:colOff>577305</xdr:colOff>
      <xdr:row>22</xdr:row>
      <xdr:rowOff>5722</xdr:rowOff>
    </xdr:from>
    <xdr:to>
      <xdr:col>25</xdr:col>
      <xdr:colOff>389506</xdr:colOff>
      <xdr:row>27</xdr:row>
      <xdr:rowOff>54446</xdr:rowOff>
    </xdr:to>
    <xdr:grpSp>
      <xdr:nvGrpSpPr>
        <xdr:cNvPr id="26" name="Grupo 25">
          <a:extLst>
            <a:ext uri="{FF2B5EF4-FFF2-40B4-BE49-F238E27FC236}">
              <a16:creationId xmlns:a16="http://schemas.microsoft.com/office/drawing/2014/main" id="{00000000-0008-0000-0400-00001A000000}"/>
            </a:ext>
          </a:extLst>
        </xdr:cNvPr>
        <xdr:cNvGrpSpPr/>
      </xdr:nvGrpSpPr>
      <xdr:grpSpPr>
        <a:xfrm>
          <a:off x="577305" y="4489442"/>
          <a:ext cx="26598360" cy="977992"/>
          <a:chOff x="705081" y="4041072"/>
          <a:chExt cx="24053326" cy="1001848"/>
        </a:xfrm>
      </xdr:grpSpPr>
      <xdr:pic>
        <xdr:nvPicPr>
          <xdr:cNvPr id="5" name="Imagen 4">
            <a:extLst>
              <a:ext uri="{FF2B5EF4-FFF2-40B4-BE49-F238E27FC236}">
                <a16:creationId xmlns:a16="http://schemas.microsoft.com/office/drawing/2014/main" id="{00000000-0008-0000-0400-000005000000}"/>
              </a:ext>
            </a:extLst>
          </xdr:cNvPr>
          <xdr:cNvPicPr>
            <a:picLocks noChangeAspect="1"/>
          </xdr:cNvPicPr>
        </xdr:nvPicPr>
        <xdr:blipFill rotWithShape="1">
          <a:blip xmlns:r="http://schemas.openxmlformats.org/officeDocument/2006/relationships" r:embed="rId4"/>
          <a:srcRect l="630" r="90073" b="32839"/>
          <a:stretch/>
        </xdr:blipFill>
        <xdr:spPr>
          <a:xfrm>
            <a:off x="705081" y="4055138"/>
            <a:ext cx="1523128" cy="882860"/>
          </a:xfrm>
          <a:prstGeom prst="rect">
            <a:avLst/>
          </a:prstGeom>
        </xdr:spPr>
      </xdr:pic>
      <xdr:pic>
        <xdr:nvPicPr>
          <xdr:cNvPr id="6" name="Imagen 5">
            <a:extLst>
              <a:ext uri="{FF2B5EF4-FFF2-40B4-BE49-F238E27FC236}">
                <a16:creationId xmlns:a16="http://schemas.microsoft.com/office/drawing/2014/main" id="{00000000-0008-0000-0400-000006000000}"/>
              </a:ext>
            </a:extLst>
          </xdr:cNvPr>
          <xdr:cNvPicPr>
            <a:picLocks noChangeAspect="1"/>
          </xdr:cNvPicPr>
        </xdr:nvPicPr>
        <xdr:blipFill rotWithShape="1">
          <a:blip xmlns:r="http://schemas.openxmlformats.org/officeDocument/2006/relationships" r:embed="rId4"/>
          <a:srcRect l="15063" t="1" r="79044" b="26326"/>
          <a:stretch/>
        </xdr:blipFill>
        <xdr:spPr>
          <a:xfrm>
            <a:off x="3166829" y="4041072"/>
            <a:ext cx="1188334" cy="968476"/>
          </a:xfrm>
          <a:prstGeom prst="rect">
            <a:avLst/>
          </a:prstGeom>
        </xdr:spPr>
      </xdr:pic>
      <xdr:pic>
        <xdr:nvPicPr>
          <xdr:cNvPr id="7" name="Imagen 6">
            <a:extLst>
              <a:ext uri="{FF2B5EF4-FFF2-40B4-BE49-F238E27FC236}">
                <a16:creationId xmlns:a16="http://schemas.microsoft.com/office/drawing/2014/main" id="{00000000-0008-0000-0400-000007000000}"/>
              </a:ext>
            </a:extLst>
          </xdr:cNvPr>
          <xdr:cNvPicPr>
            <a:picLocks noChangeAspect="1"/>
          </xdr:cNvPicPr>
        </xdr:nvPicPr>
        <xdr:blipFill rotWithShape="1">
          <a:blip xmlns:r="http://schemas.openxmlformats.org/officeDocument/2006/relationships" r:embed="rId4"/>
          <a:srcRect l="25820" r="63984" b="29048"/>
          <a:stretch/>
        </xdr:blipFill>
        <xdr:spPr>
          <a:xfrm>
            <a:off x="6253526" y="4052993"/>
            <a:ext cx="1639598" cy="932702"/>
          </a:xfrm>
          <a:prstGeom prst="rect">
            <a:avLst/>
          </a:prstGeom>
        </xdr:spPr>
      </xdr:pic>
      <xdr:pic>
        <xdr:nvPicPr>
          <xdr:cNvPr id="8" name="Imagen 7" descr="https://tse2.mm.bing.net/th?id=OIP.Nm77iOoL8qJhE0QUe9fKLgHaHH&amp;pid=Api&amp;P=0&amp;h=180">
            <a:extLst>
              <a:ext uri="{FF2B5EF4-FFF2-40B4-BE49-F238E27FC236}">
                <a16:creationId xmlns:a16="http://schemas.microsoft.com/office/drawing/2014/main" id="{00000000-0008-0000-0400-000008000000}"/>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7486" t="3889" r="8022" b="12222"/>
          <a:stretch/>
        </xdr:blipFill>
        <xdr:spPr bwMode="auto">
          <a:xfrm>
            <a:off x="23810385" y="4152844"/>
            <a:ext cx="948022" cy="69063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10" name="Imagen 9">
            <a:extLst>
              <a:ext uri="{FF2B5EF4-FFF2-40B4-BE49-F238E27FC236}">
                <a16:creationId xmlns:a16="http://schemas.microsoft.com/office/drawing/2014/main" id="{00000000-0008-0000-0400-00000A000000}"/>
              </a:ext>
            </a:extLst>
          </xdr:cNvPr>
          <xdr:cNvPicPr>
            <a:picLocks noChangeAspect="1"/>
          </xdr:cNvPicPr>
        </xdr:nvPicPr>
        <xdr:blipFill rotWithShape="1">
          <a:blip xmlns:r="http://schemas.openxmlformats.org/officeDocument/2006/relationships" r:embed="rId4"/>
          <a:srcRect l="57250" r="32835" b="27232"/>
          <a:stretch/>
        </xdr:blipFill>
        <xdr:spPr>
          <a:xfrm>
            <a:off x="14293445" y="4086364"/>
            <a:ext cx="1594471" cy="956556"/>
          </a:xfrm>
          <a:prstGeom prst="rect">
            <a:avLst/>
          </a:prstGeom>
        </xdr:spPr>
      </xdr:pic>
      <xdr:pic>
        <xdr:nvPicPr>
          <xdr:cNvPr id="11" name="Imagen 10">
            <a:extLst>
              <a:ext uri="{FF2B5EF4-FFF2-40B4-BE49-F238E27FC236}">
                <a16:creationId xmlns:a16="http://schemas.microsoft.com/office/drawing/2014/main" id="{00000000-0008-0000-0400-00000B000000}"/>
              </a:ext>
            </a:extLst>
          </xdr:cNvPr>
          <xdr:cNvPicPr>
            <a:picLocks noChangeAspect="1"/>
          </xdr:cNvPicPr>
        </xdr:nvPicPr>
        <xdr:blipFill rotWithShape="1">
          <a:blip xmlns:r="http://schemas.openxmlformats.org/officeDocument/2006/relationships" r:embed="rId4"/>
          <a:srcRect l="72217" r="22638" b="27233"/>
          <a:stretch/>
        </xdr:blipFill>
        <xdr:spPr>
          <a:xfrm>
            <a:off x="17527976" y="4083991"/>
            <a:ext cx="1203375" cy="956555"/>
          </a:xfrm>
          <a:prstGeom prst="rect">
            <a:avLst/>
          </a:prstGeom>
        </xdr:spPr>
      </xdr:pic>
      <xdr:pic>
        <xdr:nvPicPr>
          <xdr:cNvPr id="12" name="Imagen 11">
            <a:extLst>
              <a:ext uri="{FF2B5EF4-FFF2-40B4-BE49-F238E27FC236}">
                <a16:creationId xmlns:a16="http://schemas.microsoft.com/office/drawing/2014/main" id="{00000000-0008-0000-0400-00000C000000}"/>
              </a:ext>
            </a:extLst>
          </xdr:cNvPr>
          <xdr:cNvPicPr>
            <a:picLocks noChangeAspect="1"/>
          </xdr:cNvPicPr>
        </xdr:nvPicPr>
        <xdr:blipFill rotWithShape="1">
          <a:blip xmlns:r="http://schemas.openxmlformats.org/officeDocument/2006/relationships" r:embed="rId4"/>
          <a:srcRect l="82225" t="1" r="11133" b="29046"/>
          <a:stretch/>
        </xdr:blipFill>
        <xdr:spPr>
          <a:xfrm>
            <a:off x="20969214" y="4081518"/>
            <a:ext cx="1263543" cy="932704"/>
          </a:xfrm>
          <a:prstGeom prst="rect">
            <a:avLst/>
          </a:prstGeom>
        </xdr:spPr>
      </xdr:pic>
      <xdr:pic>
        <xdr:nvPicPr>
          <xdr:cNvPr id="25" name="Imagen 24">
            <a:extLst>
              <a:ext uri="{FF2B5EF4-FFF2-40B4-BE49-F238E27FC236}">
                <a16:creationId xmlns:a16="http://schemas.microsoft.com/office/drawing/2014/main" id="{00000000-0008-0000-0400-000019000000}"/>
              </a:ext>
            </a:extLst>
          </xdr:cNvPr>
          <xdr:cNvPicPr>
            <a:picLocks noChangeAspect="1"/>
          </xdr:cNvPicPr>
        </xdr:nvPicPr>
        <xdr:blipFill>
          <a:blip xmlns:r="http://schemas.openxmlformats.org/officeDocument/2006/relationships" r:embed="rId6"/>
          <a:stretch>
            <a:fillRect/>
          </a:stretch>
        </xdr:blipFill>
        <xdr:spPr>
          <a:xfrm>
            <a:off x="10140709" y="4074500"/>
            <a:ext cx="1638068" cy="900021"/>
          </a:xfrm>
          <a:prstGeom prst="rect">
            <a:avLst/>
          </a:prstGeom>
        </xdr:spPr>
      </xdr:pic>
    </xdr:grpSp>
    <xdr:clientData/>
  </xdr:twoCellAnchor>
  <xdr:oneCellAnchor>
    <xdr:from>
      <xdr:col>1</xdr:col>
      <xdr:colOff>0</xdr:colOff>
      <xdr:row>92</xdr:row>
      <xdr:rowOff>0</xdr:rowOff>
    </xdr:from>
    <xdr:ext cx="304800" cy="304800"/>
    <xdr:sp macro="" textlink="">
      <xdr:nvSpPr>
        <xdr:cNvPr id="27" name="AutoShape 1" descr="blob:https://web.whatsapp.com/9db3c01e-9c22-4238-98f0-6f1472e5ffa6">
          <a:extLst>
            <a:ext uri="{FF2B5EF4-FFF2-40B4-BE49-F238E27FC236}">
              <a16:creationId xmlns:a16="http://schemas.microsoft.com/office/drawing/2014/main" id="{00000000-0008-0000-0400-00001B000000}"/>
            </a:ext>
          </a:extLst>
        </xdr:cNvPr>
        <xdr:cNvSpPr>
          <a:spLocks noChangeAspect="1" noChangeArrowheads="1"/>
        </xdr:cNvSpPr>
      </xdr:nvSpPr>
      <xdr:spPr bwMode="auto">
        <a:xfrm>
          <a:off x="762000" y="495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92</xdr:row>
      <xdr:rowOff>0</xdr:rowOff>
    </xdr:from>
    <xdr:ext cx="304800" cy="304800"/>
    <xdr:sp macro="" textlink="">
      <xdr:nvSpPr>
        <xdr:cNvPr id="28" name="AutoShape 2" descr="blob:https://web.whatsapp.com/9db3c01e-9c22-4238-98f0-6f1472e5ffa6">
          <a:extLst>
            <a:ext uri="{FF2B5EF4-FFF2-40B4-BE49-F238E27FC236}">
              <a16:creationId xmlns:a16="http://schemas.microsoft.com/office/drawing/2014/main" id="{00000000-0008-0000-0400-00001C000000}"/>
            </a:ext>
          </a:extLst>
        </xdr:cNvPr>
        <xdr:cNvSpPr>
          <a:spLocks noChangeAspect="1" noChangeArrowheads="1"/>
        </xdr:cNvSpPr>
      </xdr:nvSpPr>
      <xdr:spPr bwMode="auto">
        <a:xfrm>
          <a:off x="762000" y="495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16</xdr:col>
      <xdr:colOff>563834</xdr:colOff>
      <xdr:row>98</xdr:row>
      <xdr:rowOff>81544</xdr:rowOff>
    </xdr:from>
    <xdr:to>
      <xdr:col>23</xdr:col>
      <xdr:colOff>4878</xdr:colOff>
      <xdr:row>120</xdr:row>
      <xdr:rowOff>405394</xdr:rowOff>
    </xdr:to>
    <xdr:grpSp>
      <xdr:nvGrpSpPr>
        <xdr:cNvPr id="29" name="Grupo 28">
          <a:extLst>
            <a:ext uri="{FF2B5EF4-FFF2-40B4-BE49-F238E27FC236}">
              <a16:creationId xmlns:a16="http://schemas.microsoft.com/office/drawing/2014/main" id="{00000000-0008-0000-0400-00001D000000}"/>
            </a:ext>
          </a:extLst>
        </xdr:cNvPr>
        <xdr:cNvGrpSpPr/>
      </xdr:nvGrpSpPr>
      <xdr:grpSpPr>
        <a:xfrm>
          <a:off x="20450175" y="19085081"/>
          <a:ext cx="4807569" cy="4412630"/>
          <a:chOff x="14420850" y="6200775"/>
          <a:chExt cx="4781550" cy="4667250"/>
        </a:xfrm>
      </xdr:grpSpPr>
      <xdr:pic>
        <xdr:nvPicPr>
          <xdr:cNvPr id="30" name="Imagen 29">
            <a:extLst>
              <a:ext uri="{FF2B5EF4-FFF2-40B4-BE49-F238E27FC236}">
                <a16:creationId xmlns:a16="http://schemas.microsoft.com/office/drawing/2014/main" id="{00000000-0008-0000-0400-00001E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3883" b="5298"/>
          <a:stretch/>
        </xdr:blipFill>
        <xdr:spPr>
          <a:xfrm>
            <a:off x="14725651" y="6200775"/>
            <a:ext cx="4476749" cy="4667250"/>
          </a:xfrm>
          <a:prstGeom prst="rect">
            <a:avLst/>
          </a:prstGeom>
        </xdr:spPr>
      </xdr:pic>
      <xdr:sp macro="" textlink="">
        <xdr:nvSpPr>
          <xdr:cNvPr id="31" name="Flecha derecha 30">
            <a:extLst>
              <a:ext uri="{FF2B5EF4-FFF2-40B4-BE49-F238E27FC236}">
                <a16:creationId xmlns:a16="http://schemas.microsoft.com/office/drawing/2014/main" id="{00000000-0008-0000-0400-00001F000000}"/>
              </a:ext>
            </a:extLst>
          </xdr:cNvPr>
          <xdr:cNvSpPr/>
        </xdr:nvSpPr>
        <xdr:spPr>
          <a:xfrm>
            <a:off x="14420850" y="10572750"/>
            <a:ext cx="409575" cy="152400"/>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0</xdr:col>
      <xdr:colOff>0</xdr:colOff>
      <xdr:row>98</xdr:row>
      <xdr:rowOff>66675</xdr:rowOff>
    </xdr:from>
    <xdr:to>
      <xdr:col>7</xdr:col>
      <xdr:colOff>1035232</xdr:colOff>
      <xdr:row>117</xdr:row>
      <xdr:rowOff>124818</xdr:rowOff>
    </xdr:to>
    <xdr:grpSp>
      <xdr:nvGrpSpPr>
        <xdr:cNvPr id="32" name="Grupo 31">
          <a:extLst>
            <a:ext uri="{FF2B5EF4-FFF2-40B4-BE49-F238E27FC236}">
              <a16:creationId xmlns:a16="http://schemas.microsoft.com/office/drawing/2014/main" id="{00000000-0008-0000-0400-000020000000}"/>
            </a:ext>
          </a:extLst>
        </xdr:cNvPr>
        <xdr:cNvGrpSpPr/>
      </xdr:nvGrpSpPr>
      <xdr:grpSpPr>
        <a:xfrm>
          <a:off x="0" y="19070212"/>
          <a:ext cx="7354256" cy="3589362"/>
          <a:chOff x="0" y="6162675"/>
          <a:chExt cx="6921682" cy="3677643"/>
        </a:xfrm>
      </xdr:grpSpPr>
      <xdr:pic>
        <xdr:nvPicPr>
          <xdr:cNvPr id="33" name="Imagen 32">
            <a:extLst>
              <a:ext uri="{FF2B5EF4-FFF2-40B4-BE49-F238E27FC236}">
                <a16:creationId xmlns:a16="http://schemas.microsoft.com/office/drawing/2014/main" id="{00000000-0008-0000-0400-000021000000}"/>
              </a:ext>
            </a:extLst>
          </xdr:cNvPr>
          <xdr:cNvPicPr>
            <a:picLocks noChangeAspect="1"/>
          </xdr:cNvPicPr>
        </xdr:nvPicPr>
        <xdr:blipFill>
          <a:blip xmlns:r="http://schemas.openxmlformats.org/officeDocument/2006/relationships" r:embed="rId2"/>
          <a:stretch>
            <a:fillRect/>
          </a:stretch>
        </xdr:blipFill>
        <xdr:spPr>
          <a:xfrm>
            <a:off x="180975" y="6162675"/>
            <a:ext cx="6740707" cy="3677643"/>
          </a:xfrm>
          <a:prstGeom prst="rect">
            <a:avLst/>
          </a:prstGeom>
        </xdr:spPr>
      </xdr:pic>
      <xdr:sp macro="" textlink="">
        <xdr:nvSpPr>
          <xdr:cNvPr id="34" name="Flecha derecha 33">
            <a:extLst>
              <a:ext uri="{FF2B5EF4-FFF2-40B4-BE49-F238E27FC236}">
                <a16:creationId xmlns:a16="http://schemas.microsoft.com/office/drawing/2014/main" id="{00000000-0008-0000-0400-000022000000}"/>
              </a:ext>
            </a:extLst>
          </xdr:cNvPr>
          <xdr:cNvSpPr/>
        </xdr:nvSpPr>
        <xdr:spPr>
          <a:xfrm>
            <a:off x="0" y="8210550"/>
            <a:ext cx="409575" cy="152400"/>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0</xdr:col>
      <xdr:colOff>705081</xdr:colOff>
      <xdr:row>87</xdr:row>
      <xdr:rowOff>26706</xdr:rowOff>
    </xdr:from>
    <xdr:to>
      <xdr:col>25</xdr:col>
      <xdr:colOff>517282</xdr:colOff>
      <xdr:row>92</xdr:row>
      <xdr:rowOff>56718</xdr:rowOff>
    </xdr:to>
    <xdr:grpSp>
      <xdr:nvGrpSpPr>
        <xdr:cNvPr id="37" name="Grupo 36">
          <a:extLst>
            <a:ext uri="{FF2B5EF4-FFF2-40B4-BE49-F238E27FC236}">
              <a16:creationId xmlns:a16="http://schemas.microsoft.com/office/drawing/2014/main" id="{00000000-0008-0000-0400-000025000000}"/>
            </a:ext>
          </a:extLst>
        </xdr:cNvPr>
        <xdr:cNvGrpSpPr/>
      </xdr:nvGrpSpPr>
      <xdr:grpSpPr>
        <a:xfrm>
          <a:off x="705081" y="16985852"/>
          <a:ext cx="26598360" cy="959281"/>
          <a:chOff x="705081" y="4026869"/>
          <a:chExt cx="24053326" cy="982679"/>
        </a:xfrm>
      </xdr:grpSpPr>
      <xdr:pic>
        <xdr:nvPicPr>
          <xdr:cNvPr id="38" name="Imagen 37">
            <a:extLst>
              <a:ext uri="{FF2B5EF4-FFF2-40B4-BE49-F238E27FC236}">
                <a16:creationId xmlns:a16="http://schemas.microsoft.com/office/drawing/2014/main" id="{00000000-0008-0000-0400-000026000000}"/>
              </a:ext>
            </a:extLst>
          </xdr:cNvPr>
          <xdr:cNvPicPr>
            <a:picLocks noChangeAspect="1"/>
          </xdr:cNvPicPr>
        </xdr:nvPicPr>
        <xdr:blipFill rotWithShape="1">
          <a:blip xmlns:r="http://schemas.openxmlformats.org/officeDocument/2006/relationships" r:embed="rId4"/>
          <a:srcRect l="630" r="90073" b="32839"/>
          <a:stretch/>
        </xdr:blipFill>
        <xdr:spPr>
          <a:xfrm>
            <a:off x="705081" y="4055138"/>
            <a:ext cx="1523128" cy="882860"/>
          </a:xfrm>
          <a:prstGeom prst="rect">
            <a:avLst/>
          </a:prstGeom>
        </xdr:spPr>
      </xdr:pic>
      <xdr:pic>
        <xdr:nvPicPr>
          <xdr:cNvPr id="39" name="Imagen 38">
            <a:extLst>
              <a:ext uri="{FF2B5EF4-FFF2-40B4-BE49-F238E27FC236}">
                <a16:creationId xmlns:a16="http://schemas.microsoft.com/office/drawing/2014/main" id="{00000000-0008-0000-0400-000027000000}"/>
              </a:ext>
            </a:extLst>
          </xdr:cNvPr>
          <xdr:cNvPicPr>
            <a:picLocks noChangeAspect="1"/>
          </xdr:cNvPicPr>
        </xdr:nvPicPr>
        <xdr:blipFill rotWithShape="1">
          <a:blip xmlns:r="http://schemas.openxmlformats.org/officeDocument/2006/relationships" r:embed="rId4"/>
          <a:srcRect l="15063" t="1" r="79044" b="26326"/>
          <a:stretch/>
        </xdr:blipFill>
        <xdr:spPr>
          <a:xfrm>
            <a:off x="3166829" y="4041072"/>
            <a:ext cx="1188334" cy="968476"/>
          </a:xfrm>
          <a:prstGeom prst="rect">
            <a:avLst/>
          </a:prstGeom>
        </xdr:spPr>
      </xdr:pic>
      <xdr:pic>
        <xdr:nvPicPr>
          <xdr:cNvPr id="40" name="Imagen 39">
            <a:extLst>
              <a:ext uri="{FF2B5EF4-FFF2-40B4-BE49-F238E27FC236}">
                <a16:creationId xmlns:a16="http://schemas.microsoft.com/office/drawing/2014/main" id="{00000000-0008-0000-0400-000028000000}"/>
              </a:ext>
            </a:extLst>
          </xdr:cNvPr>
          <xdr:cNvPicPr>
            <a:picLocks noChangeAspect="1"/>
          </xdr:cNvPicPr>
        </xdr:nvPicPr>
        <xdr:blipFill rotWithShape="1">
          <a:blip xmlns:r="http://schemas.openxmlformats.org/officeDocument/2006/relationships" r:embed="rId4"/>
          <a:srcRect l="25820" r="63984" b="29048"/>
          <a:stretch/>
        </xdr:blipFill>
        <xdr:spPr>
          <a:xfrm>
            <a:off x="6253526" y="4052993"/>
            <a:ext cx="1639598" cy="932702"/>
          </a:xfrm>
          <a:prstGeom prst="rect">
            <a:avLst/>
          </a:prstGeom>
        </xdr:spPr>
      </xdr:pic>
      <xdr:pic>
        <xdr:nvPicPr>
          <xdr:cNvPr id="41" name="Imagen 40" descr="https://tse2.mm.bing.net/th?id=OIP.Nm77iOoL8qJhE0QUe9fKLgHaHH&amp;pid=Api&amp;P=0&amp;h=180">
            <a:extLst>
              <a:ext uri="{FF2B5EF4-FFF2-40B4-BE49-F238E27FC236}">
                <a16:creationId xmlns:a16="http://schemas.microsoft.com/office/drawing/2014/main" id="{00000000-0008-0000-0400-000029000000}"/>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7486" t="3889" r="8022" b="12222"/>
          <a:stretch/>
        </xdr:blipFill>
        <xdr:spPr bwMode="auto">
          <a:xfrm>
            <a:off x="23810385" y="4152844"/>
            <a:ext cx="948022" cy="69063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2" name="Imagen 41">
            <a:extLst>
              <a:ext uri="{FF2B5EF4-FFF2-40B4-BE49-F238E27FC236}">
                <a16:creationId xmlns:a16="http://schemas.microsoft.com/office/drawing/2014/main" id="{00000000-0008-0000-0400-00002A000000}"/>
              </a:ext>
            </a:extLst>
          </xdr:cNvPr>
          <xdr:cNvPicPr>
            <a:picLocks noChangeAspect="1"/>
          </xdr:cNvPicPr>
        </xdr:nvPicPr>
        <xdr:blipFill rotWithShape="1">
          <a:blip xmlns:r="http://schemas.openxmlformats.org/officeDocument/2006/relationships" r:embed="rId4"/>
          <a:srcRect l="57250" r="32835" b="27232"/>
          <a:stretch/>
        </xdr:blipFill>
        <xdr:spPr>
          <a:xfrm>
            <a:off x="14198324" y="4026869"/>
            <a:ext cx="1594471" cy="956556"/>
          </a:xfrm>
          <a:prstGeom prst="rect">
            <a:avLst/>
          </a:prstGeom>
        </xdr:spPr>
      </xdr:pic>
      <xdr:pic>
        <xdr:nvPicPr>
          <xdr:cNvPr id="43" name="Imagen 42">
            <a:extLst>
              <a:ext uri="{FF2B5EF4-FFF2-40B4-BE49-F238E27FC236}">
                <a16:creationId xmlns:a16="http://schemas.microsoft.com/office/drawing/2014/main" id="{00000000-0008-0000-0400-00002B000000}"/>
              </a:ext>
            </a:extLst>
          </xdr:cNvPr>
          <xdr:cNvPicPr>
            <a:picLocks noChangeAspect="1"/>
          </xdr:cNvPicPr>
        </xdr:nvPicPr>
        <xdr:blipFill rotWithShape="1">
          <a:blip xmlns:r="http://schemas.openxmlformats.org/officeDocument/2006/relationships" r:embed="rId4"/>
          <a:srcRect l="72217" r="22638" b="27233"/>
          <a:stretch/>
        </xdr:blipFill>
        <xdr:spPr>
          <a:xfrm>
            <a:off x="17443424" y="4036393"/>
            <a:ext cx="1203375" cy="956556"/>
          </a:xfrm>
          <a:prstGeom prst="rect">
            <a:avLst/>
          </a:prstGeom>
        </xdr:spPr>
      </xdr:pic>
      <xdr:pic>
        <xdr:nvPicPr>
          <xdr:cNvPr id="44" name="Imagen 43">
            <a:extLst>
              <a:ext uri="{FF2B5EF4-FFF2-40B4-BE49-F238E27FC236}">
                <a16:creationId xmlns:a16="http://schemas.microsoft.com/office/drawing/2014/main" id="{00000000-0008-0000-0400-00002C000000}"/>
              </a:ext>
            </a:extLst>
          </xdr:cNvPr>
          <xdr:cNvPicPr>
            <a:picLocks noChangeAspect="1"/>
          </xdr:cNvPicPr>
        </xdr:nvPicPr>
        <xdr:blipFill rotWithShape="1">
          <a:blip xmlns:r="http://schemas.openxmlformats.org/officeDocument/2006/relationships" r:embed="rId4"/>
          <a:srcRect l="82225" t="1" r="11133" b="29046"/>
          <a:stretch/>
        </xdr:blipFill>
        <xdr:spPr>
          <a:xfrm>
            <a:off x="20863524" y="4033921"/>
            <a:ext cx="1263543" cy="932704"/>
          </a:xfrm>
          <a:prstGeom prst="rect">
            <a:avLst/>
          </a:prstGeom>
        </xdr:spPr>
      </xdr:pic>
      <xdr:pic>
        <xdr:nvPicPr>
          <xdr:cNvPr id="45" name="Imagen 44">
            <a:extLst>
              <a:ext uri="{FF2B5EF4-FFF2-40B4-BE49-F238E27FC236}">
                <a16:creationId xmlns:a16="http://schemas.microsoft.com/office/drawing/2014/main" id="{00000000-0008-0000-0400-00002D000000}"/>
              </a:ext>
            </a:extLst>
          </xdr:cNvPr>
          <xdr:cNvPicPr>
            <a:picLocks noChangeAspect="1"/>
          </xdr:cNvPicPr>
        </xdr:nvPicPr>
        <xdr:blipFill>
          <a:blip xmlns:r="http://schemas.openxmlformats.org/officeDocument/2006/relationships" r:embed="rId6"/>
          <a:stretch>
            <a:fillRect/>
          </a:stretch>
        </xdr:blipFill>
        <xdr:spPr>
          <a:xfrm>
            <a:off x="9791932" y="4074500"/>
            <a:ext cx="1638068" cy="900021"/>
          </a:xfrm>
          <a:prstGeom prst="rect">
            <a:avLst/>
          </a:prstGeom>
        </xdr:spPr>
      </xdr:pic>
    </xdr:grpSp>
    <xdr:clientData/>
  </xdr:twoCellAnchor>
  <xdr:oneCellAnchor>
    <xdr:from>
      <xdr:col>1</xdr:col>
      <xdr:colOff>0</xdr:colOff>
      <xdr:row>153</xdr:row>
      <xdr:rowOff>0</xdr:rowOff>
    </xdr:from>
    <xdr:ext cx="304800" cy="304800"/>
    <xdr:sp macro="" textlink="">
      <xdr:nvSpPr>
        <xdr:cNvPr id="46" name="AutoShape 1" descr="blob:https://web.whatsapp.com/9db3c01e-9c22-4238-98f0-6f1472e5ffa6">
          <a:extLst>
            <a:ext uri="{FF2B5EF4-FFF2-40B4-BE49-F238E27FC236}">
              <a16:creationId xmlns:a16="http://schemas.microsoft.com/office/drawing/2014/main" id="{00000000-0008-0000-0400-00002E000000}"/>
            </a:ext>
          </a:extLst>
        </xdr:cNvPr>
        <xdr:cNvSpPr>
          <a:spLocks noChangeAspect="1" noChangeArrowheads="1"/>
        </xdr:cNvSpPr>
      </xdr:nvSpPr>
      <xdr:spPr bwMode="auto">
        <a:xfrm>
          <a:off x="762000" y="495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153</xdr:row>
      <xdr:rowOff>0</xdr:rowOff>
    </xdr:from>
    <xdr:ext cx="304800" cy="304800"/>
    <xdr:sp macro="" textlink="">
      <xdr:nvSpPr>
        <xdr:cNvPr id="47" name="AutoShape 2" descr="blob:https://web.whatsapp.com/9db3c01e-9c22-4238-98f0-6f1472e5ffa6">
          <a:extLst>
            <a:ext uri="{FF2B5EF4-FFF2-40B4-BE49-F238E27FC236}">
              <a16:creationId xmlns:a16="http://schemas.microsoft.com/office/drawing/2014/main" id="{00000000-0008-0000-0400-00002F000000}"/>
            </a:ext>
          </a:extLst>
        </xdr:cNvPr>
        <xdr:cNvSpPr>
          <a:spLocks noChangeAspect="1" noChangeArrowheads="1"/>
        </xdr:cNvSpPr>
      </xdr:nvSpPr>
      <xdr:spPr bwMode="auto">
        <a:xfrm>
          <a:off x="762000" y="495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16</xdr:col>
      <xdr:colOff>726456</xdr:colOff>
      <xdr:row>159</xdr:row>
      <xdr:rowOff>104775</xdr:rowOff>
    </xdr:from>
    <xdr:to>
      <xdr:col>23</xdr:col>
      <xdr:colOff>167501</xdr:colOff>
      <xdr:row>184</xdr:row>
      <xdr:rowOff>9525</xdr:rowOff>
    </xdr:to>
    <xdr:grpSp>
      <xdr:nvGrpSpPr>
        <xdr:cNvPr id="48" name="Grupo 47">
          <a:extLst>
            <a:ext uri="{FF2B5EF4-FFF2-40B4-BE49-F238E27FC236}">
              <a16:creationId xmlns:a16="http://schemas.microsoft.com/office/drawing/2014/main" id="{00000000-0008-0000-0400-000030000000}"/>
            </a:ext>
          </a:extLst>
        </xdr:cNvPr>
        <xdr:cNvGrpSpPr/>
      </xdr:nvGrpSpPr>
      <xdr:grpSpPr>
        <a:xfrm>
          <a:off x="20612797" y="31409501"/>
          <a:ext cx="4807570" cy="4551091"/>
          <a:chOff x="14420850" y="6200775"/>
          <a:chExt cx="4781550" cy="4667250"/>
        </a:xfrm>
      </xdr:grpSpPr>
      <xdr:pic>
        <xdr:nvPicPr>
          <xdr:cNvPr id="49" name="Imagen 48">
            <a:extLst>
              <a:ext uri="{FF2B5EF4-FFF2-40B4-BE49-F238E27FC236}">
                <a16:creationId xmlns:a16="http://schemas.microsoft.com/office/drawing/2014/main" id="{00000000-0008-0000-0400-000031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3883" b="5298"/>
          <a:stretch/>
        </xdr:blipFill>
        <xdr:spPr>
          <a:xfrm>
            <a:off x="14725651" y="6200775"/>
            <a:ext cx="4476749" cy="4667250"/>
          </a:xfrm>
          <a:prstGeom prst="rect">
            <a:avLst/>
          </a:prstGeom>
        </xdr:spPr>
      </xdr:pic>
      <xdr:sp macro="" textlink="">
        <xdr:nvSpPr>
          <xdr:cNvPr id="50" name="Flecha derecha 49">
            <a:extLst>
              <a:ext uri="{FF2B5EF4-FFF2-40B4-BE49-F238E27FC236}">
                <a16:creationId xmlns:a16="http://schemas.microsoft.com/office/drawing/2014/main" id="{00000000-0008-0000-0400-000032000000}"/>
              </a:ext>
            </a:extLst>
          </xdr:cNvPr>
          <xdr:cNvSpPr/>
        </xdr:nvSpPr>
        <xdr:spPr>
          <a:xfrm>
            <a:off x="14420850" y="10572750"/>
            <a:ext cx="409575" cy="152400"/>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0</xdr:col>
      <xdr:colOff>0</xdr:colOff>
      <xdr:row>159</xdr:row>
      <xdr:rowOff>66675</xdr:rowOff>
    </xdr:from>
    <xdr:to>
      <xdr:col>7</xdr:col>
      <xdr:colOff>1035232</xdr:colOff>
      <xdr:row>178</xdr:row>
      <xdr:rowOff>124818</xdr:rowOff>
    </xdr:to>
    <xdr:grpSp>
      <xdr:nvGrpSpPr>
        <xdr:cNvPr id="51" name="Grupo 50">
          <a:extLst>
            <a:ext uri="{FF2B5EF4-FFF2-40B4-BE49-F238E27FC236}">
              <a16:creationId xmlns:a16="http://schemas.microsoft.com/office/drawing/2014/main" id="{00000000-0008-0000-0400-000033000000}"/>
            </a:ext>
          </a:extLst>
        </xdr:cNvPr>
        <xdr:cNvGrpSpPr/>
      </xdr:nvGrpSpPr>
      <xdr:grpSpPr>
        <a:xfrm>
          <a:off x="0" y="31371401"/>
          <a:ext cx="7354256" cy="3589362"/>
          <a:chOff x="0" y="6162675"/>
          <a:chExt cx="6921682" cy="3677643"/>
        </a:xfrm>
      </xdr:grpSpPr>
      <xdr:pic>
        <xdr:nvPicPr>
          <xdr:cNvPr id="52" name="Imagen 51">
            <a:extLst>
              <a:ext uri="{FF2B5EF4-FFF2-40B4-BE49-F238E27FC236}">
                <a16:creationId xmlns:a16="http://schemas.microsoft.com/office/drawing/2014/main" id="{00000000-0008-0000-0400-000034000000}"/>
              </a:ext>
            </a:extLst>
          </xdr:cNvPr>
          <xdr:cNvPicPr>
            <a:picLocks noChangeAspect="1"/>
          </xdr:cNvPicPr>
        </xdr:nvPicPr>
        <xdr:blipFill>
          <a:blip xmlns:r="http://schemas.openxmlformats.org/officeDocument/2006/relationships" r:embed="rId2"/>
          <a:stretch>
            <a:fillRect/>
          </a:stretch>
        </xdr:blipFill>
        <xdr:spPr>
          <a:xfrm>
            <a:off x="180975" y="6162675"/>
            <a:ext cx="6740707" cy="3677643"/>
          </a:xfrm>
          <a:prstGeom prst="rect">
            <a:avLst/>
          </a:prstGeom>
        </xdr:spPr>
      </xdr:pic>
      <xdr:sp macro="" textlink="">
        <xdr:nvSpPr>
          <xdr:cNvPr id="53" name="Flecha derecha 52">
            <a:extLst>
              <a:ext uri="{FF2B5EF4-FFF2-40B4-BE49-F238E27FC236}">
                <a16:creationId xmlns:a16="http://schemas.microsoft.com/office/drawing/2014/main" id="{00000000-0008-0000-0400-000035000000}"/>
              </a:ext>
            </a:extLst>
          </xdr:cNvPr>
          <xdr:cNvSpPr/>
        </xdr:nvSpPr>
        <xdr:spPr>
          <a:xfrm>
            <a:off x="0" y="8210550"/>
            <a:ext cx="409575" cy="152400"/>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0</xdr:col>
      <xdr:colOff>705081</xdr:colOff>
      <xdr:row>148</xdr:row>
      <xdr:rowOff>15089</xdr:rowOff>
    </xdr:from>
    <xdr:to>
      <xdr:col>25</xdr:col>
      <xdr:colOff>517282</xdr:colOff>
      <xdr:row>153</xdr:row>
      <xdr:rowOff>63745</xdr:rowOff>
    </xdr:to>
    <xdr:grpSp>
      <xdr:nvGrpSpPr>
        <xdr:cNvPr id="56" name="Grupo 55">
          <a:extLst>
            <a:ext uri="{FF2B5EF4-FFF2-40B4-BE49-F238E27FC236}">
              <a16:creationId xmlns:a16="http://schemas.microsoft.com/office/drawing/2014/main" id="{00000000-0008-0000-0400-000038000000}"/>
            </a:ext>
          </a:extLst>
        </xdr:cNvPr>
        <xdr:cNvGrpSpPr/>
      </xdr:nvGrpSpPr>
      <xdr:grpSpPr>
        <a:xfrm>
          <a:off x="705081" y="29275424"/>
          <a:ext cx="26598360" cy="977925"/>
          <a:chOff x="705081" y="4014969"/>
          <a:chExt cx="24053326" cy="1001778"/>
        </a:xfrm>
      </xdr:grpSpPr>
      <xdr:pic>
        <xdr:nvPicPr>
          <xdr:cNvPr id="57" name="Imagen 56">
            <a:extLst>
              <a:ext uri="{FF2B5EF4-FFF2-40B4-BE49-F238E27FC236}">
                <a16:creationId xmlns:a16="http://schemas.microsoft.com/office/drawing/2014/main" id="{00000000-0008-0000-0400-000039000000}"/>
              </a:ext>
            </a:extLst>
          </xdr:cNvPr>
          <xdr:cNvPicPr>
            <a:picLocks noChangeAspect="1"/>
          </xdr:cNvPicPr>
        </xdr:nvPicPr>
        <xdr:blipFill rotWithShape="1">
          <a:blip xmlns:r="http://schemas.openxmlformats.org/officeDocument/2006/relationships" r:embed="rId4"/>
          <a:srcRect l="630" r="90073" b="32839"/>
          <a:stretch/>
        </xdr:blipFill>
        <xdr:spPr>
          <a:xfrm>
            <a:off x="705081" y="4055138"/>
            <a:ext cx="1523128" cy="882860"/>
          </a:xfrm>
          <a:prstGeom prst="rect">
            <a:avLst/>
          </a:prstGeom>
        </xdr:spPr>
      </xdr:pic>
      <xdr:pic>
        <xdr:nvPicPr>
          <xdr:cNvPr id="58" name="Imagen 57">
            <a:extLst>
              <a:ext uri="{FF2B5EF4-FFF2-40B4-BE49-F238E27FC236}">
                <a16:creationId xmlns:a16="http://schemas.microsoft.com/office/drawing/2014/main" id="{00000000-0008-0000-0400-00003A000000}"/>
              </a:ext>
            </a:extLst>
          </xdr:cNvPr>
          <xdr:cNvPicPr>
            <a:picLocks noChangeAspect="1"/>
          </xdr:cNvPicPr>
        </xdr:nvPicPr>
        <xdr:blipFill rotWithShape="1">
          <a:blip xmlns:r="http://schemas.openxmlformats.org/officeDocument/2006/relationships" r:embed="rId4"/>
          <a:srcRect l="15063" t="1" r="79044" b="26326"/>
          <a:stretch/>
        </xdr:blipFill>
        <xdr:spPr>
          <a:xfrm>
            <a:off x="3166829" y="4041072"/>
            <a:ext cx="1188334" cy="968476"/>
          </a:xfrm>
          <a:prstGeom prst="rect">
            <a:avLst/>
          </a:prstGeom>
        </xdr:spPr>
      </xdr:pic>
      <xdr:pic>
        <xdr:nvPicPr>
          <xdr:cNvPr id="59" name="Imagen 58">
            <a:extLst>
              <a:ext uri="{FF2B5EF4-FFF2-40B4-BE49-F238E27FC236}">
                <a16:creationId xmlns:a16="http://schemas.microsoft.com/office/drawing/2014/main" id="{00000000-0008-0000-0400-00003B000000}"/>
              </a:ext>
            </a:extLst>
          </xdr:cNvPr>
          <xdr:cNvPicPr>
            <a:picLocks noChangeAspect="1"/>
          </xdr:cNvPicPr>
        </xdr:nvPicPr>
        <xdr:blipFill rotWithShape="1">
          <a:blip xmlns:r="http://schemas.openxmlformats.org/officeDocument/2006/relationships" r:embed="rId4"/>
          <a:srcRect l="25820" r="63984" b="29048"/>
          <a:stretch/>
        </xdr:blipFill>
        <xdr:spPr>
          <a:xfrm>
            <a:off x="6253526" y="4052993"/>
            <a:ext cx="1639598" cy="932702"/>
          </a:xfrm>
          <a:prstGeom prst="rect">
            <a:avLst/>
          </a:prstGeom>
        </xdr:spPr>
      </xdr:pic>
      <xdr:pic>
        <xdr:nvPicPr>
          <xdr:cNvPr id="60" name="Imagen 59" descr="https://tse2.mm.bing.net/th?id=OIP.Nm77iOoL8qJhE0QUe9fKLgHaHH&amp;pid=Api&amp;P=0&amp;h=180">
            <a:extLst>
              <a:ext uri="{FF2B5EF4-FFF2-40B4-BE49-F238E27FC236}">
                <a16:creationId xmlns:a16="http://schemas.microsoft.com/office/drawing/2014/main" id="{00000000-0008-0000-0400-00003C000000}"/>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7486" t="3889" r="8022" b="12222"/>
          <a:stretch/>
        </xdr:blipFill>
        <xdr:spPr bwMode="auto">
          <a:xfrm>
            <a:off x="23810385" y="4152844"/>
            <a:ext cx="948022" cy="69063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61" name="Imagen 60">
            <a:extLst>
              <a:ext uri="{FF2B5EF4-FFF2-40B4-BE49-F238E27FC236}">
                <a16:creationId xmlns:a16="http://schemas.microsoft.com/office/drawing/2014/main" id="{00000000-0008-0000-0400-00003D000000}"/>
              </a:ext>
            </a:extLst>
          </xdr:cNvPr>
          <xdr:cNvPicPr>
            <a:picLocks noChangeAspect="1"/>
          </xdr:cNvPicPr>
        </xdr:nvPicPr>
        <xdr:blipFill rotWithShape="1">
          <a:blip xmlns:r="http://schemas.openxmlformats.org/officeDocument/2006/relationships" r:embed="rId4"/>
          <a:srcRect l="57250" r="32835" b="27232"/>
          <a:stretch/>
        </xdr:blipFill>
        <xdr:spPr>
          <a:xfrm>
            <a:off x="14187754" y="4014969"/>
            <a:ext cx="1594471" cy="956556"/>
          </a:xfrm>
          <a:prstGeom prst="rect">
            <a:avLst/>
          </a:prstGeom>
        </xdr:spPr>
      </xdr:pic>
      <xdr:pic>
        <xdr:nvPicPr>
          <xdr:cNvPr id="62" name="Imagen 61">
            <a:extLst>
              <a:ext uri="{FF2B5EF4-FFF2-40B4-BE49-F238E27FC236}">
                <a16:creationId xmlns:a16="http://schemas.microsoft.com/office/drawing/2014/main" id="{00000000-0008-0000-0400-00003E000000}"/>
              </a:ext>
            </a:extLst>
          </xdr:cNvPr>
          <xdr:cNvPicPr>
            <a:picLocks noChangeAspect="1"/>
          </xdr:cNvPicPr>
        </xdr:nvPicPr>
        <xdr:blipFill rotWithShape="1">
          <a:blip xmlns:r="http://schemas.openxmlformats.org/officeDocument/2006/relationships" r:embed="rId4"/>
          <a:srcRect l="72217" r="22638" b="27233"/>
          <a:stretch/>
        </xdr:blipFill>
        <xdr:spPr>
          <a:xfrm>
            <a:off x="17422286" y="4060192"/>
            <a:ext cx="1203375" cy="956555"/>
          </a:xfrm>
          <a:prstGeom prst="rect">
            <a:avLst/>
          </a:prstGeom>
        </xdr:spPr>
      </xdr:pic>
      <xdr:pic>
        <xdr:nvPicPr>
          <xdr:cNvPr id="63" name="Imagen 62">
            <a:extLst>
              <a:ext uri="{FF2B5EF4-FFF2-40B4-BE49-F238E27FC236}">
                <a16:creationId xmlns:a16="http://schemas.microsoft.com/office/drawing/2014/main" id="{00000000-0008-0000-0400-00003F000000}"/>
              </a:ext>
            </a:extLst>
          </xdr:cNvPr>
          <xdr:cNvPicPr>
            <a:picLocks noChangeAspect="1"/>
          </xdr:cNvPicPr>
        </xdr:nvPicPr>
        <xdr:blipFill rotWithShape="1">
          <a:blip xmlns:r="http://schemas.openxmlformats.org/officeDocument/2006/relationships" r:embed="rId4"/>
          <a:srcRect l="82225" t="1" r="11133" b="29046"/>
          <a:stretch/>
        </xdr:blipFill>
        <xdr:spPr>
          <a:xfrm>
            <a:off x="20831816" y="4045820"/>
            <a:ext cx="1263543" cy="932704"/>
          </a:xfrm>
          <a:prstGeom prst="rect">
            <a:avLst/>
          </a:prstGeom>
        </xdr:spPr>
      </xdr:pic>
      <xdr:pic>
        <xdr:nvPicPr>
          <xdr:cNvPr id="64" name="Imagen 63">
            <a:extLst>
              <a:ext uri="{FF2B5EF4-FFF2-40B4-BE49-F238E27FC236}">
                <a16:creationId xmlns:a16="http://schemas.microsoft.com/office/drawing/2014/main" id="{00000000-0008-0000-0400-000040000000}"/>
              </a:ext>
            </a:extLst>
          </xdr:cNvPr>
          <xdr:cNvPicPr>
            <a:picLocks noChangeAspect="1"/>
          </xdr:cNvPicPr>
        </xdr:nvPicPr>
        <xdr:blipFill>
          <a:blip xmlns:r="http://schemas.openxmlformats.org/officeDocument/2006/relationships" r:embed="rId6"/>
          <a:stretch>
            <a:fillRect/>
          </a:stretch>
        </xdr:blipFill>
        <xdr:spPr>
          <a:xfrm>
            <a:off x="9791932" y="4074500"/>
            <a:ext cx="1638068" cy="900021"/>
          </a:xfrm>
          <a:prstGeom prst="rect">
            <a:avLst/>
          </a:prstGeom>
        </xdr:spPr>
      </xdr:pic>
    </xdr:grpSp>
    <xdr:clientData/>
  </xdr:twoCellAnchor>
  <xdr:oneCellAnchor>
    <xdr:from>
      <xdr:col>1</xdr:col>
      <xdr:colOff>0</xdr:colOff>
      <xdr:row>215</xdr:row>
      <xdr:rowOff>0</xdr:rowOff>
    </xdr:from>
    <xdr:ext cx="304800" cy="304800"/>
    <xdr:sp macro="" textlink="">
      <xdr:nvSpPr>
        <xdr:cNvPr id="84" name="AutoShape 1" descr="blob:https://web.whatsapp.com/9db3c01e-9c22-4238-98f0-6f1472e5ffa6">
          <a:extLst>
            <a:ext uri="{FF2B5EF4-FFF2-40B4-BE49-F238E27FC236}">
              <a16:creationId xmlns:a16="http://schemas.microsoft.com/office/drawing/2014/main" id="{00000000-0008-0000-0400-000054000000}"/>
            </a:ext>
          </a:extLst>
        </xdr:cNvPr>
        <xdr:cNvSpPr>
          <a:spLocks noChangeAspect="1" noChangeArrowheads="1"/>
        </xdr:cNvSpPr>
      </xdr:nvSpPr>
      <xdr:spPr bwMode="auto">
        <a:xfrm>
          <a:off x="762000" y="495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xdr:col>
      <xdr:colOff>0</xdr:colOff>
      <xdr:row>215</xdr:row>
      <xdr:rowOff>0</xdr:rowOff>
    </xdr:from>
    <xdr:ext cx="304800" cy="304800"/>
    <xdr:sp macro="" textlink="">
      <xdr:nvSpPr>
        <xdr:cNvPr id="85" name="AutoShape 2" descr="blob:https://web.whatsapp.com/9db3c01e-9c22-4238-98f0-6f1472e5ffa6">
          <a:extLst>
            <a:ext uri="{FF2B5EF4-FFF2-40B4-BE49-F238E27FC236}">
              <a16:creationId xmlns:a16="http://schemas.microsoft.com/office/drawing/2014/main" id="{00000000-0008-0000-0400-000055000000}"/>
            </a:ext>
          </a:extLst>
        </xdr:cNvPr>
        <xdr:cNvSpPr>
          <a:spLocks noChangeAspect="1" noChangeArrowheads="1"/>
        </xdr:cNvSpPr>
      </xdr:nvSpPr>
      <xdr:spPr bwMode="auto">
        <a:xfrm>
          <a:off x="762000" y="495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twoCellAnchor>
    <xdr:from>
      <xdr:col>15</xdr:col>
      <xdr:colOff>528987</xdr:colOff>
      <xdr:row>221</xdr:row>
      <xdr:rowOff>81543</xdr:rowOff>
    </xdr:from>
    <xdr:to>
      <xdr:col>21</xdr:col>
      <xdr:colOff>736678</xdr:colOff>
      <xdr:row>245</xdr:row>
      <xdr:rowOff>172146</xdr:rowOff>
    </xdr:to>
    <xdr:grpSp>
      <xdr:nvGrpSpPr>
        <xdr:cNvPr id="86" name="Grupo 85">
          <a:extLst>
            <a:ext uri="{FF2B5EF4-FFF2-40B4-BE49-F238E27FC236}">
              <a16:creationId xmlns:a16="http://schemas.microsoft.com/office/drawing/2014/main" id="{00000000-0008-0000-0400-000056000000}"/>
            </a:ext>
          </a:extLst>
        </xdr:cNvPr>
        <xdr:cNvGrpSpPr/>
      </xdr:nvGrpSpPr>
      <xdr:grpSpPr>
        <a:xfrm>
          <a:off x="19648682" y="43478372"/>
          <a:ext cx="4807569" cy="4551091"/>
          <a:chOff x="14420850" y="6200775"/>
          <a:chExt cx="4781550" cy="4667250"/>
        </a:xfrm>
      </xdr:grpSpPr>
      <xdr:pic>
        <xdr:nvPicPr>
          <xdr:cNvPr id="87" name="Imagen 86">
            <a:extLst>
              <a:ext uri="{FF2B5EF4-FFF2-40B4-BE49-F238E27FC236}">
                <a16:creationId xmlns:a16="http://schemas.microsoft.com/office/drawing/2014/main" id="{00000000-0008-0000-0400-000057000000}"/>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3883" b="5298"/>
          <a:stretch/>
        </xdr:blipFill>
        <xdr:spPr>
          <a:xfrm>
            <a:off x="14725651" y="6200775"/>
            <a:ext cx="4476749" cy="4667250"/>
          </a:xfrm>
          <a:prstGeom prst="rect">
            <a:avLst/>
          </a:prstGeom>
        </xdr:spPr>
      </xdr:pic>
      <xdr:sp macro="" textlink="">
        <xdr:nvSpPr>
          <xdr:cNvPr id="88" name="Flecha derecha 87">
            <a:extLst>
              <a:ext uri="{FF2B5EF4-FFF2-40B4-BE49-F238E27FC236}">
                <a16:creationId xmlns:a16="http://schemas.microsoft.com/office/drawing/2014/main" id="{00000000-0008-0000-0400-000058000000}"/>
              </a:ext>
            </a:extLst>
          </xdr:cNvPr>
          <xdr:cNvSpPr/>
        </xdr:nvSpPr>
        <xdr:spPr>
          <a:xfrm>
            <a:off x="14420850" y="10572750"/>
            <a:ext cx="409575" cy="152400"/>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0</xdr:col>
      <xdr:colOff>0</xdr:colOff>
      <xdr:row>221</xdr:row>
      <xdr:rowOff>43443</xdr:rowOff>
    </xdr:from>
    <xdr:to>
      <xdr:col>7</xdr:col>
      <xdr:colOff>1035232</xdr:colOff>
      <xdr:row>240</xdr:row>
      <xdr:rowOff>101586</xdr:rowOff>
    </xdr:to>
    <xdr:grpSp>
      <xdr:nvGrpSpPr>
        <xdr:cNvPr id="89" name="Grupo 88">
          <a:extLst>
            <a:ext uri="{FF2B5EF4-FFF2-40B4-BE49-F238E27FC236}">
              <a16:creationId xmlns:a16="http://schemas.microsoft.com/office/drawing/2014/main" id="{00000000-0008-0000-0400-000059000000}"/>
            </a:ext>
          </a:extLst>
        </xdr:cNvPr>
        <xdr:cNvGrpSpPr/>
      </xdr:nvGrpSpPr>
      <xdr:grpSpPr>
        <a:xfrm>
          <a:off x="0" y="43440272"/>
          <a:ext cx="7354256" cy="3589363"/>
          <a:chOff x="0" y="6162675"/>
          <a:chExt cx="6921682" cy="3677643"/>
        </a:xfrm>
      </xdr:grpSpPr>
      <xdr:pic>
        <xdr:nvPicPr>
          <xdr:cNvPr id="90" name="Imagen 89">
            <a:extLst>
              <a:ext uri="{FF2B5EF4-FFF2-40B4-BE49-F238E27FC236}">
                <a16:creationId xmlns:a16="http://schemas.microsoft.com/office/drawing/2014/main" id="{00000000-0008-0000-0400-00005A000000}"/>
              </a:ext>
            </a:extLst>
          </xdr:cNvPr>
          <xdr:cNvPicPr>
            <a:picLocks noChangeAspect="1"/>
          </xdr:cNvPicPr>
        </xdr:nvPicPr>
        <xdr:blipFill>
          <a:blip xmlns:r="http://schemas.openxmlformats.org/officeDocument/2006/relationships" r:embed="rId2"/>
          <a:stretch>
            <a:fillRect/>
          </a:stretch>
        </xdr:blipFill>
        <xdr:spPr>
          <a:xfrm>
            <a:off x="180975" y="6162675"/>
            <a:ext cx="6740707" cy="3677643"/>
          </a:xfrm>
          <a:prstGeom prst="rect">
            <a:avLst/>
          </a:prstGeom>
        </xdr:spPr>
      </xdr:pic>
      <xdr:sp macro="" textlink="">
        <xdr:nvSpPr>
          <xdr:cNvPr id="91" name="Flecha derecha 90">
            <a:extLst>
              <a:ext uri="{FF2B5EF4-FFF2-40B4-BE49-F238E27FC236}">
                <a16:creationId xmlns:a16="http://schemas.microsoft.com/office/drawing/2014/main" id="{00000000-0008-0000-0400-00005B000000}"/>
              </a:ext>
            </a:extLst>
          </xdr:cNvPr>
          <xdr:cNvSpPr/>
        </xdr:nvSpPr>
        <xdr:spPr>
          <a:xfrm>
            <a:off x="0" y="8210550"/>
            <a:ext cx="409575" cy="152400"/>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clientData/>
  </xdr:twoCellAnchor>
  <xdr:twoCellAnchor>
    <xdr:from>
      <xdr:col>0</xdr:col>
      <xdr:colOff>705081</xdr:colOff>
      <xdr:row>210</xdr:row>
      <xdr:rowOff>33590</xdr:rowOff>
    </xdr:from>
    <xdr:to>
      <xdr:col>25</xdr:col>
      <xdr:colOff>517282</xdr:colOff>
      <xdr:row>215</xdr:row>
      <xdr:rowOff>56719</xdr:rowOff>
    </xdr:to>
    <xdr:grpSp>
      <xdr:nvGrpSpPr>
        <xdr:cNvPr id="94" name="Grupo 93">
          <a:extLst>
            <a:ext uri="{FF2B5EF4-FFF2-40B4-BE49-F238E27FC236}">
              <a16:creationId xmlns:a16="http://schemas.microsoft.com/office/drawing/2014/main" id="{00000000-0008-0000-0400-00005E000000}"/>
            </a:ext>
          </a:extLst>
        </xdr:cNvPr>
        <xdr:cNvGrpSpPr/>
      </xdr:nvGrpSpPr>
      <xdr:grpSpPr>
        <a:xfrm>
          <a:off x="705081" y="41386029"/>
          <a:ext cx="26598360" cy="952397"/>
          <a:chOff x="705081" y="4033920"/>
          <a:chExt cx="24053326" cy="975628"/>
        </a:xfrm>
      </xdr:grpSpPr>
      <xdr:pic>
        <xdr:nvPicPr>
          <xdr:cNvPr id="95" name="Imagen 94">
            <a:extLst>
              <a:ext uri="{FF2B5EF4-FFF2-40B4-BE49-F238E27FC236}">
                <a16:creationId xmlns:a16="http://schemas.microsoft.com/office/drawing/2014/main" id="{00000000-0008-0000-0400-00005F000000}"/>
              </a:ext>
            </a:extLst>
          </xdr:cNvPr>
          <xdr:cNvPicPr>
            <a:picLocks noChangeAspect="1"/>
          </xdr:cNvPicPr>
        </xdr:nvPicPr>
        <xdr:blipFill rotWithShape="1">
          <a:blip xmlns:r="http://schemas.openxmlformats.org/officeDocument/2006/relationships" r:embed="rId4"/>
          <a:srcRect l="630" r="90073" b="32839"/>
          <a:stretch/>
        </xdr:blipFill>
        <xdr:spPr>
          <a:xfrm>
            <a:off x="705081" y="4055138"/>
            <a:ext cx="1523128" cy="882860"/>
          </a:xfrm>
          <a:prstGeom prst="rect">
            <a:avLst/>
          </a:prstGeom>
        </xdr:spPr>
      </xdr:pic>
      <xdr:pic>
        <xdr:nvPicPr>
          <xdr:cNvPr id="96" name="Imagen 95">
            <a:extLst>
              <a:ext uri="{FF2B5EF4-FFF2-40B4-BE49-F238E27FC236}">
                <a16:creationId xmlns:a16="http://schemas.microsoft.com/office/drawing/2014/main" id="{00000000-0008-0000-0400-000060000000}"/>
              </a:ext>
            </a:extLst>
          </xdr:cNvPr>
          <xdr:cNvPicPr>
            <a:picLocks noChangeAspect="1"/>
          </xdr:cNvPicPr>
        </xdr:nvPicPr>
        <xdr:blipFill rotWithShape="1">
          <a:blip xmlns:r="http://schemas.openxmlformats.org/officeDocument/2006/relationships" r:embed="rId4"/>
          <a:srcRect l="15063" t="1" r="79044" b="26326"/>
          <a:stretch/>
        </xdr:blipFill>
        <xdr:spPr>
          <a:xfrm>
            <a:off x="3166829" y="4041072"/>
            <a:ext cx="1188334" cy="968476"/>
          </a:xfrm>
          <a:prstGeom prst="rect">
            <a:avLst/>
          </a:prstGeom>
        </xdr:spPr>
      </xdr:pic>
      <xdr:pic>
        <xdr:nvPicPr>
          <xdr:cNvPr id="97" name="Imagen 96">
            <a:extLst>
              <a:ext uri="{FF2B5EF4-FFF2-40B4-BE49-F238E27FC236}">
                <a16:creationId xmlns:a16="http://schemas.microsoft.com/office/drawing/2014/main" id="{00000000-0008-0000-0400-000061000000}"/>
              </a:ext>
            </a:extLst>
          </xdr:cNvPr>
          <xdr:cNvPicPr>
            <a:picLocks noChangeAspect="1"/>
          </xdr:cNvPicPr>
        </xdr:nvPicPr>
        <xdr:blipFill rotWithShape="1">
          <a:blip xmlns:r="http://schemas.openxmlformats.org/officeDocument/2006/relationships" r:embed="rId4"/>
          <a:srcRect l="25820" r="63984" b="29048"/>
          <a:stretch/>
        </xdr:blipFill>
        <xdr:spPr>
          <a:xfrm>
            <a:off x="6253526" y="4052993"/>
            <a:ext cx="1639598" cy="932702"/>
          </a:xfrm>
          <a:prstGeom prst="rect">
            <a:avLst/>
          </a:prstGeom>
        </xdr:spPr>
      </xdr:pic>
      <xdr:pic>
        <xdr:nvPicPr>
          <xdr:cNvPr id="98" name="Imagen 97" descr="https://tse2.mm.bing.net/th?id=OIP.Nm77iOoL8qJhE0QUe9fKLgHaHH&amp;pid=Api&amp;P=0&amp;h=180">
            <a:extLst>
              <a:ext uri="{FF2B5EF4-FFF2-40B4-BE49-F238E27FC236}">
                <a16:creationId xmlns:a16="http://schemas.microsoft.com/office/drawing/2014/main" id="{00000000-0008-0000-0400-000062000000}"/>
              </a:ext>
            </a:extLst>
          </xdr:cNvPr>
          <xdr:cNvPicPr>
            <a:picLocks noChangeAspect="1" noChangeArrowheads="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7486" t="3889" r="8022" b="12222"/>
          <a:stretch/>
        </xdr:blipFill>
        <xdr:spPr bwMode="auto">
          <a:xfrm>
            <a:off x="23810385" y="4152844"/>
            <a:ext cx="948022" cy="690635"/>
          </a:xfrm>
          <a:prstGeom prst="rect">
            <a:avLst/>
          </a:prstGeom>
          <a:noFill/>
          <a:extLst>
            <a:ext uri="{909E8E84-426E-40DD-AFC4-6F175D3DCCD1}">
              <a14:hiddenFill xmlns:a14="http://schemas.microsoft.com/office/drawing/2010/main">
                <a:solidFill>
                  <a:srgbClr val="FFFFFF"/>
                </a:solidFill>
              </a14:hiddenFill>
            </a:ext>
          </a:extLst>
        </xdr:spPr>
      </xdr:pic>
      <xdr:pic>
        <xdr:nvPicPr>
          <xdr:cNvPr id="99" name="Imagen 98">
            <a:extLst>
              <a:ext uri="{FF2B5EF4-FFF2-40B4-BE49-F238E27FC236}">
                <a16:creationId xmlns:a16="http://schemas.microsoft.com/office/drawing/2014/main" id="{00000000-0008-0000-0400-000063000000}"/>
              </a:ext>
            </a:extLst>
          </xdr:cNvPr>
          <xdr:cNvPicPr>
            <a:picLocks noChangeAspect="1"/>
          </xdr:cNvPicPr>
        </xdr:nvPicPr>
        <xdr:blipFill rotWithShape="1">
          <a:blip xmlns:r="http://schemas.openxmlformats.org/officeDocument/2006/relationships" r:embed="rId4"/>
          <a:srcRect l="57250" r="32835" b="27232"/>
          <a:stretch/>
        </xdr:blipFill>
        <xdr:spPr>
          <a:xfrm>
            <a:off x="14177185" y="4050667"/>
            <a:ext cx="1594471" cy="956556"/>
          </a:xfrm>
          <a:prstGeom prst="rect">
            <a:avLst/>
          </a:prstGeom>
        </xdr:spPr>
      </xdr:pic>
      <xdr:pic>
        <xdr:nvPicPr>
          <xdr:cNvPr id="100" name="Imagen 99">
            <a:extLst>
              <a:ext uri="{FF2B5EF4-FFF2-40B4-BE49-F238E27FC236}">
                <a16:creationId xmlns:a16="http://schemas.microsoft.com/office/drawing/2014/main" id="{00000000-0008-0000-0400-000064000000}"/>
              </a:ext>
            </a:extLst>
          </xdr:cNvPr>
          <xdr:cNvPicPr>
            <a:picLocks noChangeAspect="1"/>
          </xdr:cNvPicPr>
        </xdr:nvPicPr>
        <xdr:blipFill rotWithShape="1">
          <a:blip xmlns:r="http://schemas.openxmlformats.org/officeDocument/2006/relationships" r:embed="rId4"/>
          <a:srcRect l="72217" r="22638" b="27233"/>
          <a:stretch/>
        </xdr:blipFill>
        <xdr:spPr>
          <a:xfrm>
            <a:off x="17411716" y="4036394"/>
            <a:ext cx="1203375" cy="956555"/>
          </a:xfrm>
          <a:prstGeom prst="rect">
            <a:avLst/>
          </a:prstGeom>
        </xdr:spPr>
      </xdr:pic>
      <xdr:pic>
        <xdr:nvPicPr>
          <xdr:cNvPr id="101" name="Imagen 100">
            <a:extLst>
              <a:ext uri="{FF2B5EF4-FFF2-40B4-BE49-F238E27FC236}">
                <a16:creationId xmlns:a16="http://schemas.microsoft.com/office/drawing/2014/main" id="{00000000-0008-0000-0400-000065000000}"/>
              </a:ext>
            </a:extLst>
          </xdr:cNvPr>
          <xdr:cNvPicPr>
            <a:picLocks noChangeAspect="1"/>
          </xdr:cNvPicPr>
        </xdr:nvPicPr>
        <xdr:blipFill rotWithShape="1">
          <a:blip xmlns:r="http://schemas.openxmlformats.org/officeDocument/2006/relationships" r:embed="rId4"/>
          <a:srcRect l="82225" t="1" r="11133" b="29046"/>
          <a:stretch/>
        </xdr:blipFill>
        <xdr:spPr>
          <a:xfrm>
            <a:off x="20884662" y="4033920"/>
            <a:ext cx="1263543" cy="932704"/>
          </a:xfrm>
          <a:prstGeom prst="rect">
            <a:avLst/>
          </a:prstGeom>
        </xdr:spPr>
      </xdr:pic>
      <xdr:pic>
        <xdr:nvPicPr>
          <xdr:cNvPr id="102" name="Imagen 101">
            <a:extLst>
              <a:ext uri="{FF2B5EF4-FFF2-40B4-BE49-F238E27FC236}">
                <a16:creationId xmlns:a16="http://schemas.microsoft.com/office/drawing/2014/main" id="{00000000-0008-0000-0400-000066000000}"/>
              </a:ext>
            </a:extLst>
          </xdr:cNvPr>
          <xdr:cNvPicPr>
            <a:picLocks noChangeAspect="1"/>
          </xdr:cNvPicPr>
        </xdr:nvPicPr>
        <xdr:blipFill>
          <a:blip xmlns:r="http://schemas.openxmlformats.org/officeDocument/2006/relationships" r:embed="rId6"/>
          <a:stretch>
            <a:fillRect/>
          </a:stretch>
        </xdr:blipFill>
        <xdr:spPr>
          <a:xfrm>
            <a:off x="9791932" y="4074500"/>
            <a:ext cx="1638068" cy="900021"/>
          </a:xfrm>
          <a:prstGeom prst="rect">
            <a:avLst/>
          </a:prstGeom>
        </xdr:spPr>
      </xdr:pic>
    </xdr:grpSp>
    <xdr:clientData/>
  </xdr:twoCellAnchor>
  <xdr:twoCellAnchor editAs="oneCell">
    <xdr:from>
      <xdr:col>7</xdr:col>
      <xdr:colOff>1051236</xdr:colOff>
      <xdr:row>98</xdr:row>
      <xdr:rowOff>61365</xdr:rowOff>
    </xdr:from>
    <xdr:to>
      <xdr:col>10</xdr:col>
      <xdr:colOff>3410431</xdr:colOff>
      <xdr:row>116</xdr:row>
      <xdr:rowOff>23233</xdr:rowOff>
    </xdr:to>
    <xdr:pic>
      <xdr:nvPicPr>
        <xdr:cNvPr id="103" name="Imagen 102">
          <a:extLst>
            <a:ext uri="{FF2B5EF4-FFF2-40B4-BE49-F238E27FC236}">
              <a16:creationId xmlns:a16="http://schemas.microsoft.com/office/drawing/2014/main" id="{00000000-0008-0000-0400-000067000000}"/>
            </a:ext>
          </a:extLst>
        </xdr:cNvPr>
        <xdr:cNvPicPr>
          <a:picLocks noChangeAspect="1"/>
        </xdr:cNvPicPr>
      </xdr:nvPicPr>
      <xdr:blipFill>
        <a:blip xmlns:r="http://schemas.openxmlformats.org/officeDocument/2006/relationships" r:embed="rId7"/>
        <a:stretch>
          <a:fillRect/>
        </a:stretch>
      </xdr:blipFill>
      <xdr:spPr>
        <a:xfrm>
          <a:off x="7207638" y="21632005"/>
          <a:ext cx="6285354" cy="3307233"/>
        </a:xfrm>
        <a:prstGeom prst="rect">
          <a:avLst/>
        </a:prstGeom>
      </xdr:spPr>
    </xdr:pic>
    <xdr:clientData/>
  </xdr:twoCellAnchor>
  <xdr:twoCellAnchor>
    <xdr:from>
      <xdr:col>7</xdr:col>
      <xdr:colOff>1046820</xdr:colOff>
      <xdr:row>113</xdr:row>
      <xdr:rowOff>113139</xdr:rowOff>
    </xdr:from>
    <xdr:to>
      <xdr:col>8</xdr:col>
      <xdr:colOff>246720</xdr:colOff>
      <xdr:row>114</xdr:row>
      <xdr:rowOff>75039</xdr:rowOff>
    </xdr:to>
    <xdr:sp macro="" textlink="">
      <xdr:nvSpPr>
        <xdr:cNvPr id="104" name="Flecha derecha 103">
          <a:extLst>
            <a:ext uri="{FF2B5EF4-FFF2-40B4-BE49-F238E27FC236}">
              <a16:creationId xmlns:a16="http://schemas.microsoft.com/office/drawing/2014/main" id="{00000000-0008-0000-0400-000068000000}"/>
            </a:ext>
          </a:extLst>
        </xdr:cNvPr>
        <xdr:cNvSpPr/>
      </xdr:nvSpPr>
      <xdr:spPr>
        <a:xfrm>
          <a:off x="7203222" y="24471584"/>
          <a:ext cx="407949" cy="147754"/>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editAs="oneCell">
    <xdr:from>
      <xdr:col>7</xdr:col>
      <xdr:colOff>1200151</xdr:colOff>
      <xdr:row>159</xdr:row>
      <xdr:rowOff>3659</xdr:rowOff>
    </xdr:from>
    <xdr:to>
      <xdr:col>11</xdr:col>
      <xdr:colOff>123448</xdr:colOff>
      <xdr:row>179</xdr:row>
      <xdr:rowOff>46463</xdr:rowOff>
    </xdr:to>
    <xdr:pic>
      <xdr:nvPicPr>
        <xdr:cNvPr id="105" name="Imagen 104">
          <a:extLst>
            <a:ext uri="{FF2B5EF4-FFF2-40B4-BE49-F238E27FC236}">
              <a16:creationId xmlns:a16="http://schemas.microsoft.com/office/drawing/2014/main" id="{00000000-0008-0000-0400-000069000000}"/>
            </a:ext>
          </a:extLst>
        </xdr:cNvPr>
        <xdr:cNvPicPr>
          <a:picLocks noChangeAspect="1"/>
        </xdr:cNvPicPr>
      </xdr:nvPicPr>
      <xdr:blipFill>
        <a:blip xmlns:r="http://schemas.openxmlformats.org/officeDocument/2006/relationships" r:embed="rId8"/>
        <a:stretch>
          <a:fillRect/>
        </a:stretch>
      </xdr:blipFill>
      <xdr:spPr>
        <a:xfrm>
          <a:off x="7356553" y="31703324"/>
          <a:ext cx="6369060" cy="3759877"/>
        </a:xfrm>
        <a:prstGeom prst="rect">
          <a:avLst/>
        </a:prstGeom>
      </xdr:spPr>
    </xdr:pic>
    <xdr:clientData/>
  </xdr:twoCellAnchor>
  <xdr:twoCellAnchor>
    <xdr:from>
      <xdr:col>7</xdr:col>
      <xdr:colOff>1093052</xdr:colOff>
      <xdr:row>177</xdr:row>
      <xdr:rowOff>160764</xdr:rowOff>
    </xdr:from>
    <xdr:to>
      <xdr:col>8</xdr:col>
      <xdr:colOff>294578</xdr:colOff>
      <xdr:row>178</xdr:row>
      <xdr:rowOff>122664</xdr:rowOff>
    </xdr:to>
    <xdr:sp macro="" textlink="">
      <xdr:nvSpPr>
        <xdr:cNvPr id="55" name="Flecha derecha 54">
          <a:extLst>
            <a:ext uri="{FF2B5EF4-FFF2-40B4-BE49-F238E27FC236}">
              <a16:creationId xmlns:a16="http://schemas.microsoft.com/office/drawing/2014/main" id="{00000000-0008-0000-0400-000037000000}"/>
            </a:ext>
          </a:extLst>
        </xdr:cNvPr>
        <xdr:cNvSpPr/>
      </xdr:nvSpPr>
      <xdr:spPr>
        <a:xfrm>
          <a:off x="7249454" y="35205794"/>
          <a:ext cx="409575" cy="147754"/>
        </a:xfrm>
        <a:prstGeom prst="rightArrow">
          <a:avLst/>
        </a:prstGeom>
        <a:solidFill>
          <a:srgbClr val="FFFF00"/>
        </a:solidFill>
        <a:ln>
          <a:solidFill>
            <a:srgbClr val="FFFF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clientData/>
  </xdr:twoCellAnchor>
  <xdr:twoCellAnchor>
    <xdr:from>
      <xdr:col>10</xdr:col>
      <xdr:colOff>1312591</xdr:colOff>
      <xdr:row>47</xdr:row>
      <xdr:rowOff>58081</xdr:rowOff>
    </xdr:from>
    <xdr:to>
      <xdr:col>10</xdr:col>
      <xdr:colOff>1614603</xdr:colOff>
      <xdr:row>49</xdr:row>
      <xdr:rowOff>34847</xdr:rowOff>
    </xdr:to>
    <xdr:sp macro="" textlink="">
      <xdr:nvSpPr>
        <xdr:cNvPr id="9" name="CuadroTexto 8">
          <a:extLst>
            <a:ext uri="{FF2B5EF4-FFF2-40B4-BE49-F238E27FC236}">
              <a16:creationId xmlns:a16="http://schemas.microsoft.com/office/drawing/2014/main" id="{00000000-0008-0000-0400-000009000000}"/>
            </a:ext>
          </a:extLst>
        </xdr:cNvPr>
        <xdr:cNvSpPr txBox="1"/>
      </xdr:nvSpPr>
      <xdr:spPr>
        <a:xfrm>
          <a:off x="11395152" y="9385611"/>
          <a:ext cx="302012" cy="3484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600" b="1">
              <a:solidFill>
                <a:srgbClr val="FF0000"/>
              </a:solidFill>
            </a:rPr>
            <a:t>1</a:t>
          </a:r>
        </a:p>
      </xdr:txBody>
    </xdr:sp>
    <xdr:clientData/>
  </xdr:twoCellAnchor>
  <xdr:twoCellAnchor editAs="oneCell">
    <xdr:from>
      <xdr:col>11</xdr:col>
      <xdr:colOff>894421</xdr:colOff>
      <xdr:row>32</xdr:row>
      <xdr:rowOff>135557</xdr:rowOff>
    </xdr:from>
    <xdr:to>
      <xdr:col>14</xdr:col>
      <xdr:colOff>139391</xdr:colOff>
      <xdr:row>56</xdr:row>
      <xdr:rowOff>46462</xdr:rowOff>
    </xdr:to>
    <xdr:pic>
      <xdr:nvPicPr>
        <xdr:cNvPr id="14" name="Imagen 13">
          <a:extLst>
            <a:ext uri="{FF2B5EF4-FFF2-40B4-BE49-F238E27FC236}">
              <a16:creationId xmlns:a16="http://schemas.microsoft.com/office/drawing/2014/main" id="{00000000-0008-0000-0400-00000E000000}"/>
            </a:ext>
          </a:extLst>
        </xdr:cNvPr>
        <xdr:cNvPicPr>
          <a:picLocks noChangeAspect="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t="8892" b="24704"/>
        <a:stretch/>
      </xdr:blipFill>
      <xdr:spPr>
        <a:xfrm>
          <a:off x="14496586" y="6675283"/>
          <a:ext cx="3833232" cy="4371393"/>
        </a:xfrm>
        <a:prstGeom prst="rect">
          <a:avLst/>
        </a:prstGeom>
      </xdr:spPr>
    </xdr:pic>
    <xdr:clientData/>
  </xdr:twoCellAnchor>
  <xdr:twoCellAnchor editAs="oneCell">
    <xdr:from>
      <xdr:col>11</xdr:col>
      <xdr:colOff>1266128</xdr:colOff>
      <xdr:row>98</xdr:row>
      <xdr:rowOff>11617</xdr:rowOff>
    </xdr:from>
    <xdr:to>
      <xdr:col>13</xdr:col>
      <xdr:colOff>151007</xdr:colOff>
      <xdr:row>120</xdr:row>
      <xdr:rowOff>456184</xdr:rowOff>
    </xdr:to>
    <xdr:pic>
      <xdr:nvPicPr>
        <xdr:cNvPr id="15" name="Imagen 14">
          <a:extLst>
            <a:ext uri="{FF2B5EF4-FFF2-40B4-BE49-F238E27FC236}">
              <a16:creationId xmlns:a16="http://schemas.microsoft.com/office/drawing/2014/main" id="{00000000-0008-0000-0400-00000F000000}"/>
            </a:ext>
          </a:extLst>
        </xdr:cNvPr>
        <xdr:cNvPicPr>
          <a:picLocks noChangeAspect="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t="9239" b="13502"/>
        <a:stretch/>
      </xdr:blipFill>
      <xdr:spPr>
        <a:xfrm>
          <a:off x="13509238" y="21582257"/>
          <a:ext cx="2706494" cy="4533347"/>
        </a:xfrm>
        <a:prstGeom prst="rect">
          <a:avLst/>
        </a:prstGeom>
      </xdr:spPr>
    </xdr:pic>
    <xdr:clientData/>
  </xdr:twoCellAnchor>
  <xdr:twoCellAnchor editAs="oneCell">
    <xdr:from>
      <xdr:col>13</xdr:col>
      <xdr:colOff>290399</xdr:colOff>
      <xdr:row>98</xdr:row>
      <xdr:rowOff>46463</xdr:rowOff>
    </xdr:from>
    <xdr:to>
      <xdr:col>16</xdr:col>
      <xdr:colOff>613912</xdr:colOff>
      <xdr:row>120</xdr:row>
      <xdr:rowOff>522714</xdr:rowOff>
    </xdr:to>
    <xdr:pic>
      <xdr:nvPicPr>
        <xdr:cNvPr id="16" name="Imagen 15">
          <a:extLst>
            <a:ext uri="{FF2B5EF4-FFF2-40B4-BE49-F238E27FC236}">
              <a16:creationId xmlns:a16="http://schemas.microsoft.com/office/drawing/2014/main" id="{00000000-0008-0000-0400-000010000000}"/>
            </a:ext>
          </a:extLst>
        </xdr:cNvPr>
        <xdr:cNvPicPr>
          <a:picLocks noChangeAspect="1"/>
        </xdr:cNvPicPr>
      </xdr:nvPicPr>
      <xdr:blipFill rotWithShape="1">
        <a:blip xmlns:r="http://schemas.openxmlformats.org/officeDocument/2006/relationships" r:embed="rId11" cstate="print">
          <a:extLst>
            <a:ext uri="{28A0092B-C50C-407E-A947-70E740481C1C}">
              <a14:useLocalDpi xmlns:a14="http://schemas.microsoft.com/office/drawing/2010/main" val="0"/>
            </a:ext>
          </a:extLst>
        </a:blip>
        <a:srcRect t="3003" b="16736"/>
        <a:stretch/>
      </xdr:blipFill>
      <xdr:spPr>
        <a:xfrm>
          <a:off x="16215734" y="21617103"/>
          <a:ext cx="2623452" cy="4565031"/>
        </a:xfrm>
        <a:prstGeom prst="rect">
          <a:avLst/>
        </a:prstGeom>
      </xdr:spPr>
    </xdr:pic>
    <xdr:clientData/>
  </xdr:twoCellAnchor>
  <xdr:twoCellAnchor editAs="oneCell">
    <xdr:from>
      <xdr:col>11</xdr:col>
      <xdr:colOff>139390</xdr:colOff>
      <xdr:row>159</xdr:row>
      <xdr:rowOff>58079</xdr:rowOff>
    </xdr:from>
    <xdr:to>
      <xdr:col>12</xdr:col>
      <xdr:colOff>1858535</xdr:colOff>
      <xdr:row>182</xdr:row>
      <xdr:rowOff>342</xdr:rowOff>
    </xdr:to>
    <xdr:pic>
      <xdr:nvPicPr>
        <xdr:cNvPr id="4" name="Imagen 3">
          <a:extLst>
            <a:ext uri="{FF2B5EF4-FFF2-40B4-BE49-F238E27FC236}">
              <a16:creationId xmlns:a16="http://schemas.microsoft.com/office/drawing/2014/main" id="{00000000-0008-0000-0400-000004000000}"/>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9355" b="25744"/>
        <a:stretch/>
      </xdr:blipFill>
      <xdr:spPr>
        <a:xfrm>
          <a:off x="13741555" y="31757744"/>
          <a:ext cx="3461523" cy="4216897"/>
        </a:xfrm>
        <a:prstGeom prst="rect">
          <a:avLst/>
        </a:prstGeom>
      </xdr:spPr>
    </xdr:pic>
    <xdr:clientData/>
  </xdr:twoCellAnchor>
  <xdr:twoCellAnchor editAs="oneCell">
    <xdr:from>
      <xdr:col>12</xdr:col>
      <xdr:colOff>1846921</xdr:colOff>
      <xdr:row>159</xdr:row>
      <xdr:rowOff>116159</xdr:rowOff>
    </xdr:from>
    <xdr:to>
      <xdr:col>17</xdr:col>
      <xdr:colOff>116158</xdr:colOff>
      <xdr:row>182</xdr:row>
      <xdr:rowOff>174755</xdr:rowOff>
    </xdr:to>
    <xdr:pic>
      <xdr:nvPicPr>
        <xdr:cNvPr id="21" name="Imagen 20">
          <a:extLst>
            <a:ext uri="{FF2B5EF4-FFF2-40B4-BE49-F238E27FC236}">
              <a16:creationId xmlns:a16="http://schemas.microsoft.com/office/drawing/2014/main" id="{00000000-0008-0000-0400-000015000000}"/>
            </a:ext>
          </a:extLst>
        </xdr:cNvPr>
        <xdr:cNvPicPr>
          <a:picLocks noChangeAspect="1"/>
        </xdr:cNvPicPr>
      </xdr:nvPicPr>
      <xdr:blipFill rotWithShape="1">
        <a:blip xmlns:r="http://schemas.openxmlformats.org/officeDocument/2006/relationships" r:embed="rId13">
          <a:extLst>
            <a:ext uri="{28A0092B-C50C-407E-A947-70E740481C1C}">
              <a14:useLocalDpi xmlns:a14="http://schemas.microsoft.com/office/drawing/2010/main" val="0"/>
            </a:ext>
          </a:extLst>
        </a:blip>
        <a:srcRect t="3697" b="7150"/>
        <a:stretch/>
      </xdr:blipFill>
      <xdr:spPr>
        <a:xfrm>
          <a:off x="17191464" y="31815824"/>
          <a:ext cx="3415060" cy="4333230"/>
        </a:xfrm>
        <a:prstGeom prst="rect">
          <a:avLst/>
        </a:prstGeom>
      </xdr:spPr>
    </xdr:pic>
    <xdr:clientData/>
  </xdr:twoCellAnchor>
  <xdr:twoCellAnchor>
    <xdr:from>
      <xdr:col>7</xdr:col>
      <xdr:colOff>1086298</xdr:colOff>
      <xdr:row>221</xdr:row>
      <xdr:rowOff>42535</xdr:rowOff>
    </xdr:from>
    <xdr:to>
      <xdr:col>10</xdr:col>
      <xdr:colOff>3005833</xdr:colOff>
      <xdr:row>239</xdr:row>
      <xdr:rowOff>127775</xdr:rowOff>
    </xdr:to>
    <xdr:grpSp>
      <xdr:nvGrpSpPr>
        <xdr:cNvPr id="68" name="Grupo 67">
          <a:extLst>
            <a:ext uri="{FF2B5EF4-FFF2-40B4-BE49-F238E27FC236}">
              <a16:creationId xmlns:a16="http://schemas.microsoft.com/office/drawing/2014/main" id="{00000000-0008-0000-0400-000044000000}"/>
            </a:ext>
          </a:extLst>
        </xdr:cNvPr>
        <xdr:cNvGrpSpPr/>
      </xdr:nvGrpSpPr>
      <xdr:grpSpPr>
        <a:xfrm>
          <a:off x="7405322" y="43439364"/>
          <a:ext cx="5845694" cy="3430606"/>
          <a:chOff x="7242700" y="46250401"/>
          <a:chExt cx="5845694" cy="3430606"/>
        </a:xfrm>
      </xdr:grpSpPr>
      <xdr:pic>
        <xdr:nvPicPr>
          <xdr:cNvPr id="106" name="Imagen 105">
            <a:extLst>
              <a:ext uri="{FF2B5EF4-FFF2-40B4-BE49-F238E27FC236}">
                <a16:creationId xmlns:a16="http://schemas.microsoft.com/office/drawing/2014/main" id="{00000000-0008-0000-0400-00006A000000}"/>
              </a:ext>
            </a:extLst>
          </xdr:cNvPr>
          <xdr:cNvPicPr>
            <a:picLocks noChangeAspect="1"/>
          </xdr:cNvPicPr>
        </xdr:nvPicPr>
        <xdr:blipFill>
          <a:blip xmlns:r="http://schemas.openxmlformats.org/officeDocument/2006/relationships" r:embed="rId14"/>
          <a:stretch>
            <a:fillRect/>
          </a:stretch>
        </xdr:blipFill>
        <xdr:spPr>
          <a:xfrm>
            <a:off x="7242700" y="46250401"/>
            <a:ext cx="5845694" cy="3430606"/>
          </a:xfrm>
          <a:prstGeom prst="rect">
            <a:avLst/>
          </a:prstGeom>
        </xdr:spPr>
      </xdr:pic>
      <xdr:sp macro="" textlink="">
        <xdr:nvSpPr>
          <xdr:cNvPr id="35" name="CuadroTexto 34">
            <a:extLst>
              <a:ext uri="{FF2B5EF4-FFF2-40B4-BE49-F238E27FC236}">
                <a16:creationId xmlns:a16="http://schemas.microsoft.com/office/drawing/2014/main" id="{00000000-0008-0000-0400-000023000000}"/>
              </a:ext>
            </a:extLst>
          </xdr:cNvPr>
          <xdr:cNvSpPr txBox="1"/>
        </xdr:nvSpPr>
        <xdr:spPr>
          <a:xfrm>
            <a:off x="8061402" y="47973476"/>
            <a:ext cx="290397" cy="25554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b="1">
                <a:solidFill>
                  <a:srgbClr val="FF0000"/>
                </a:solidFill>
              </a:rPr>
              <a:t>1</a:t>
            </a:r>
          </a:p>
        </xdr:txBody>
      </xdr:sp>
    </xdr:grpSp>
    <xdr:clientData/>
  </xdr:twoCellAnchor>
  <xdr:twoCellAnchor>
    <xdr:from>
      <xdr:col>7</xdr:col>
      <xdr:colOff>1161586</xdr:colOff>
      <xdr:row>239</xdr:row>
      <xdr:rowOff>162621</xdr:rowOff>
    </xdr:from>
    <xdr:to>
      <xdr:col>10</xdr:col>
      <xdr:colOff>2950427</xdr:colOff>
      <xdr:row>255</xdr:row>
      <xdr:rowOff>58078</xdr:rowOff>
    </xdr:to>
    <xdr:grpSp>
      <xdr:nvGrpSpPr>
        <xdr:cNvPr id="67" name="Grupo 66">
          <a:extLst>
            <a:ext uri="{FF2B5EF4-FFF2-40B4-BE49-F238E27FC236}">
              <a16:creationId xmlns:a16="http://schemas.microsoft.com/office/drawing/2014/main" id="{00000000-0008-0000-0400-000043000000}"/>
            </a:ext>
          </a:extLst>
        </xdr:cNvPr>
        <xdr:cNvGrpSpPr/>
      </xdr:nvGrpSpPr>
      <xdr:grpSpPr>
        <a:xfrm>
          <a:off x="7480610" y="46904816"/>
          <a:ext cx="5715000" cy="2869116"/>
          <a:chOff x="7317988" y="49715853"/>
          <a:chExt cx="5715000" cy="2869115"/>
        </a:xfrm>
      </xdr:grpSpPr>
      <xdr:pic>
        <xdr:nvPicPr>
          <xdr:cNvPr id="92" name="Imagen 91">
            <a:extLst>
              <a:ext uri="{FF2B5EF4-FFF2-40B4-BE49-F238E27FC236}">
                <a16:creationId xmlns:a16="http://schemas.microsoft.com/office/drawing/2014/main" id="{00000000-0008-0000-0400-00005C000000}"/>
              </a:ext>
            </a:extLst>
          </xdr:cNvPr>
          <xdr:cNvPicPr/>
        </xdr:nvPicPr>
        <xdr:blipFill>
          <a:blip xmlns:r="http://schemas.openxmlformats.org/officeDocument/2006/relationships" r:embed="rId15"/>
          <a:stretch>
            <a:fillRect/>
          </a:stretch>
        </xdr:blipFill>
        <xdr:spPr>
          <a:xfrm>
            <a:off x="7317988" y="49715853"/>
            <a:ext cx="5715000" cy="2869115"/>
          </a:xfrm>
          <a:prstGeom prst="rect">
            <a:avLst/>
          </a:prstGeom>
        </xdr:spPr>
      </xdr:pic>
      <xdr:sp macro="" textlink="">
        <xdr:nvSpPr>
          <xdr:cNvPr id="119" name="CuadroTexto 118">
            <a:extLst>
              <a:ext uri="{FF2B5EF4-FFF2-40B4-BE49-F238E27FC236}">
                <a16:creationId xmlns:a16="http://schemas.microsoft.com/office/drawing/2014/main" id="{00000000-0008-0000-0400-000077000000}"/>
              </a:ext>
            </a:extLst>
          </xdr:cNvPr>
          <xdr:cNvSpPr txBox="1"/>
        </xdr:nvSpPr>
        <xdr:spPr>
          <a:xfrm>
            <a:off x="8131097" y="51992561"/>
            <a:ext cx="290397" cy="25554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b="1">
                <a:solidFill>
                  <a:srgbClr val="FF0000"/>
                </a:solidFill>
              </a:rPr>
              <a:t>2</a:t>
            </a:r>
          </a:p>
          <a:p>
            <a:endParaRPr lang="es-CO" sz="1100" b="1">
              <a:solidFill>
                <a:srgbClr val="FF0000"/>
              </a:solidFill>
            </a:endParaRPr>
          </a:p>
        </xdr:txBody>
      </xdr:sp>
    </xdr:grpSp>
    <xdr:clientData/>
  </xdr:twoCellAnchor>
  <xdr:twoCellAnchor>
    <xdr:from>
      <xdr:col>7</xdr:col>
      <xdr:colOff>998963</xdr:colOff>
      <xdr:row>253</xdr:row>
      <xdr:rowOff>81311</xdr:rowOff>
    </xdr:from>
    <xdr:to>
      <xdr:col>10</xdr:col>
      <xdr:colOff>2787804</xdr:colOff>
      <xdr:row>268</xdr:row>
      <xdr:rowOff>116159</xdr:rowOff>
    </xdr:to>
    <xdr:grpSp>
      <xdr:nvGrpSpPr>
        <xdr:cNvPr id="65" name="Grupo 64">
          <a:extLst>
            <a:ext uri="{FF2B5EF4-FFF2-40B4-BE49-F238E27FC236}">
              <a16:creationId xmlns:a16="http://schemas.microsoft.com/office/drawing/2014/main" id="{00000000-0008-0000-0400-000041000000}"/>
            </a:ext>
          </a:extLst>
        </xdr:cNvPr>
        <xdr:cNvGrpSpPr/>
      </xdr:nvGrpSpPr>
      <xdr:grpSpPr>
        <a:xfrm>
          <a:off x="7317987" y="49425457"/>
          <a:ext cx="5715000" cy="2822653"/>
          <a:chOff x="13091067" y="46254329"/>
          <a:chExt cx="5715000" cy="2822653"/>
        </a:xfrm>
      </xdr:grpSpPr>
      <xdr:pic>
        <xdr:nvPicPr>
          <xdr:cNvPr id="111" name="Imagen 110">
            <a:extLst>
              <a:ext uri="{FF2B5EF4-FFF2-40B4-BE49-F238E27FC236}">
                <a16:creationId xmlns:a16="http://schemas.microsoft.com/office/drawing/2014/main" id="{00000000-0008-0000-0400-00006F000000}"/>
              </a:ext>
            </a:extLst>
          </xdr:cNvPr>
          <xdr:cNvPicPr/>
        </xdr:nvPicPr>
        <xdr:blipFill>
          <a:blip xmlns:r="http://schemas.openxmlformats.org/officeDocument/2006/relationships" r:embed="rId16"/>
          <a:stretch>
            <a:fillRect/>
          </a:stretch>
        </xdr:blipFill>
        <xdr:spPr>
          <a:xfrm>
            <a:off x="13091067" y="46254329"/>
            <a:ext cx="5715000" cy="2822653"/>
          </a:xfrm>
          <a:prstGeom prst="rect">
            <a:avLst/>
          </a:prstGeom>
        </xdr:spPr>
      </xdr:pic>
      <xdr:sp macro="" textlink="">
        <xdr:nvSpPr>
          <xdr:cNvPr id="120" name="CuadroTexto 119">
            <a:extLst>
              <a:ext uri="{FF2B5EF4-FFF2-40B4-BE49-F238E27FC236}">
                <a16:creationId xmlns:a16="http://schemas.microsoft.com/office/drawing/2014/main" id="{00000000-0008-0000-0400-000078000000}"/>
              </a:ext>
            </a:extLst>
          </xdr:cNvPr>
          <xdr:cNvSpPr txBox="1"/>
        </xdr:nvSpPr>
        <xdr:spPr>
          <a:xfrm>
            <a:off x="13892561" y="48461341"/>
            <a:ext cx="290397" cy="25554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b="1">
                <a:solidFill>
                  <a:srgbClr val="FF0000"/>
                </a:solidFill>
              </a:rPr>
              <a:t>3</a:t>
            </a:r>
          </a:p>
        </xdr:txBody>
      </xdr:sp>
    </xdr:grpSp>
    <xdr:clientData/>
  </xdr:twoCellAnchor>
  <xdr:twoCellAnchor>
    <xdr:from>
      <xdr:col>10</xdr:col>
      <xdr:colOff>2950426</xdr:colOff>
      <xdr:row>239</xdr:row>
      <xdr:rowOff>174237</xdr:rowOff>
    </xdr:from>
    <xdr:to>
      <xdr:col>14</xdr:col>
      <xdr:colOff>459135</xdr:colOff>
      <xdr:row>254</xdr:row>
      <xdr:rowOff>185063</xdr:rowOff>
    </xdr:to>
    <xdr:grpSp>
      <xdr:nvGrpSpPr>
        <xdr:cNvPr id="54" name="Grupo 53">
          <a:extLst>
            <a:ext uri="{FF2B5EF4-FFF2-40B4-BE49-F238E27FC236}">
              <a16:creationId xmlns:a16="http://schemas.microsoft.com/office/drawing/2014/main" id="{00000000-0008-0000-0400-000036000000}"/>
            </a:ext>
          </a:extLst>
        </xdr:cNvPr>
        <xdr:cNvGrpSpPr/>
      </xdr:nvGrpSpPr>
      <xdr:grpSpPr>
        <a:xfrm>
          <a:off x="13195609" y="46916432"/>
          <a:ext cx="5616575" cy="2798631"/>
          <a:chOff x="18806067" y="46254329"/>
          <a:chExt cx="5616575" cy="2798631"/>
        </a:xfrm>
      </xdr:grpSpPr>
      <xdr:pic>
        <xdr:nvPicPr>
          <xdr:cNvPr id="113" name="Imagen 112">
            <a:extLst>
              <a:ext uri="{FF2B5EF4-FFF2-40B4-BE49-F238E27FC236}">
                <a16:creationId xmlns:a16="http://schemas.microsoft.com/office/drawing/2014/main" id="{00000000-0008-0000-0400-000071000000}"/>
              </a:ext>
            </a:extLst>
          </xdr:cNvPr>
          <xdr:cNvPicPr/>
        </xdr:nvPicPr>
        <xdr:blipFill>
          <a:blip xmlns:r="http://schemas.openxmlformats.org/officeDocument/2006/relationships" r:embed="rId17"/>
          <a:stretch>
            <a:fillRect/>
          </a:stretch>
        </xdr:blipFill>
        <xdr:spPr>
          <a:xfrm>
            <a:off x="18806067" y="46254329"/>
            <a:ext cx="5616575" cy="2798631"/>
          </a:xfrm>
          <a:prstGeom prst="rect">
            <a:avLst/>
          </a:prstGeom>
        </xdr:spPr>
      </xdr:pic>
      <xdr:sp macro="" textlink="">
        <xdr:nvSpPr>
          <xdr:cNvPr id="123" name="CuadroTexto 122">
            <a:extLst>
              <a:ext uri="{FF2B5EF4-FFF2-40B4-BE49-F238E27FC236}">
                <a16:creationId xmlns:a16="http://schemas.microsoft.com/office/drawing/2014/main" id="{00000000-0008-0000-0400-00007B000000}"/>
              </a:ext>
            </a:extLst>
          </xdr:cNvPr>
          <xdr:cNvSpPr txBox="1"/>
        </xdr:nvSpPr>
        <xdr:spPr>
          <a:xfrm>
            <a:off x="19688872" y="48496190"/>
            <a:ext cx="290397" cy="25554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b="1">
                <a:solidFill>
                  <a:srgbClr val="FF0000"/>
                </a:solidFill>
              </a:rPr>
              <a:t>7</a:t>
            </a:r>
          </a:p>
        </xdr:txBody>
      </xdr:sp>
    </xdr:grpSp>
    <xdr:clientData/>
  </xdr:twoCellAnchor>
  <xdr:twoCellAnchor>
    <xdr:from>
      <xdr:col>10</xdr:col>
      <xdr:colOff>3008506</xdr:colOff>
      <xdr:row>221</xdr:row>
      <xdr:rowOff>23231</xdr:rowOff>
    </xdr:from>
    <xdr:to>
      <xdr:col>14</xdr:col>
      <xdr:colOff>627256</xdr:colOff>
      <xdr:row>239</xdr:row>
      <xdr:rowOff>116158</xdr:rowOff>
    </xdr:to>
    <xdr:grpSp>
      <xdr:nvGrpSpPr>
        <xdr:cNvPr id="66" name="Grupo 65">
          <a:extLst>
            <a:ext uri="{FF2B5EF4-FFF2-40B4-BE49-F238E27FC236}">
              <a16:creationId xmlns:a16="http://schemas.microsoft.com/office/drawing/2014/main" id="{00000000-0008-0000-0400-000042000000}"/>
            </a:ext>
          </a:extLst>
        </xdr:cNvPr>
        <xdr:cNvGrpSpPr/>
      </xdr:nvGrpSpPr>
      <xdr:grpSpPr>
        <a:xfrm>
          <a:off x="13253689" y="43420060"/>
          <a:ext cx="5726616" cy="3438293"/>
          <a:chOff x="13102683" y="48972439"/>
          <a:chExt cx="5726616" cy="3438293"/>
        </a:xfrm>
      </xdr:grpSpPr>
      <xdr:pic>
        <xdr:nvPicPr>
          <xdr:cNvPr id="112" name="Imagen 111">
            <a:extLst>
              <a:ext uri="{FF2B5EF4-FFF2-40B4-BE49-F238E27FC236}">
                <a16:creationId xmlns:a16="http://schemas.microsoft.com/office/drawing/2014/main" id="{00000000-0008-0000-0400-000070000000}"/>
              </a:ext>
            </a:extLst>
          </xdr:cNvPr>
          <xdr:cNvPicPr/>
        </xdr:nvPicPr>
        <xdr:blipFill>
          <a:blip xmlns:r="http://schemas.openxmlformats.org/officeDocument/2006/relationships" r:embed="rId18"/>
          <a:stretch>
            <a:fillRect/>
          </a:stretch>
        </xdr:blipFill>
        <xdr:spPr>
          <a:xfrm>
            <a:off x="13102683" y="48972439"/>
            <a:ext cx="5726616" cy="3438293"/>
          </a:xfrm>
          <a:prstGeom prst="rect">
            <a:avLst/>
          </a:prstGeom>
        </xdr:spPr>
      </xdr:pic>
      <xdr:sp macro="" textlink="">
        <xdr:nvSpPr>
          <xdr:cNvPr id="121" name="CuadroTexto 120">
            <a:extLst>
              <a:ext uri="{FF2B5EF4-FFF2-40B4-BE49-F238E27FC236}">
                <a16:creationId xmlns:a16="http://schemas.microsoft.com/office/drawing/2014/main" id="{00000000-0008-0000-0400-000079000000}"/>
              </a:ext>
            </a:extLst>
          </xdr:cNvPr>
          <xdr:cNvSpPr txBox="1"/>
        </xdr:nvSpPr>
        <xdr:spPr>
          <a:xfrm>
            <a:off x="13927409" y="50110793"/>
            <a:ext cx="290397" cy="25554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b="1">
                <a:solidFill>
                  <a:srgbClr val="FF0000"/>
                </a:solidFill>
              </a:rPr>
              <a:t>4</a:t>
            </a:r>
          </a:p>
        </xdr:txBody>
      </xdr:sp>
      <xdr:sp macro="" textlink="">
        <xdr:nvSpPr>
          <xdr:cNvPr id="122" name="CuadroTexto 121">
            <a:extLst>
              <a:ext uri="{FF2B5EF4-FFF2-40B4-BE49-F238E27FC236}">
                <a16:creationId xmlns:a16="http://schemas.microsoft.com/office/drawing/2014/main" id="{00000000-0008-0000-0400-00007A000000}"/>
              </a:ext>
            </a:extLst>
          </xdr:cNvPr>
          <xdr:cNvSpPr txBox="1"/>
        </xdr:nvSpPr>
        <xdr:spPr>
          <a:xfrm>
            <a:off x="13915793" y="50796128"/>
            <a:ext cx="290397" cy="25554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b="1">
                <a:solidFill>
                  <a:srgbClr val="FF0000"/>
                </a:solidFill>
              </a:rPr>
              <a:t>5</a:t>
            </a:r>
          </a:p>
        </xdr:txBody>
      </xdr:sp>
      <xdr:sp macro="" textlink="">
        <xdr:nvSpPr>
          <xdr:cNvPr id="124" name="CuadroTexto 123">
            <a:extLst>
              <a:ext uri="{FF2B5EF4-FFF2-40B4-BE49-F238E27FC236}">
                <a16:creationId xmlns:a16="http://schemas.microsoft.com/office/drawing/2014/main" id="{00000000-0008-0000-0400-00007C000000}"/>
              </a:ext>
            </a:extLst>
          </xdr:cNvPr>
          <xdr:cNvSpPr txBox="1"/>
        </xdr:nvSpPr>
        <xdr:spPr>
          <a:xfrm>
            <a:off x="13917187" y="51517706"/>
            <a:ext cx="290397" cy="25554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b="1">
                <a:solidFill>
                  <a:srgbClr val="FF0000"/>
                </a:solidFill>
              </a:rPr>
              <a:t>6</a:t>
            </a:r>
          </a:p>
        </xdr:txBody>
      </xdr:sp>
      <xdr:sp macro="" textlink="">
        <xdr:nvSpPr>
          <xdr:cNvPr id="125" name="CuadroTexto 124">
            <a:extLst>
              <a:ext uri="{FF2B5EF4-FFF2-40B4-BE49-F238E27FC236}">
                <a16:creationId xmlns:a16="http://schemas.microsoft.com/office/drawing/2014/main" id="{00000000-0008-0000-0400-00007D000000}"/>
              </a:ext>
            </a:extLst>
          </xdr:cNvPr>
          <xdr:cNvSpPr txBox="1"/>
        </xdr:nvSpPr>
        <xdr:spPr>
          <a:xfrm>
            <a:off x="13892561" y="52120335"/>
            <a:ext cx="290397" cy="25554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CO" sz="1100" b="1">
                <a:solidFill>
                  <a:srgbClr val="FF0000"/>
                </a:solidFill>
              </a:rPr>
              <a:t>8</a:t>
            </a:r>
          </a:p>
        </xdr:txBody>
      </xdr:sp>
    </xdr:grpSp>
    <xdr:clientData/>
  </xdr:twoCellAnchor>
  <xdr:twoCellAnchor editAs="oneCell">
    <xdr:from>
      <xdr:col>21</xdr:col>
      <xdr:colOff>602862</xdr:colOff>
      <xdr:row>34</xdr:row>
      <xdr:rowOff>26717</xdr:rowOff>
    </xdr:from>
    <xdr:to>
      <xdr:col>28</xdr:col>
      <xdr:colOff>190028</xdr:colOff>
      <xdr:row>46</xdr:row>
      <xdr:rowOff>16108</xdr:rowOff>
    </xdr:to>
    <xdr:pic>
      <xdr:nvPicPr>
        <xdr:cNvPr id="72" name="Imagen 71">
          <a:extLst>
            <a:ext uri="{FF2B5EF4-FFF2-40B4-BE49-F238E27FC236}">
              <a16:creationId xmlns:a16="http://schemas.microsoft.com/office/drawing/2014/main" id="{00000000-0008-0000-0400-000048000000}"/>
            </a:ext>
          </a:extLst>
        </xdr:cNvPr>
        <xdr:cNvPicPr>
          <a:picLocks noChangeAspect="1"/>
        </xdr:cNvPicPr>
      </xdr:nvPicPr>
      <xdr:blipFill>
        <a:blip xmlns:r="http://schemas.openxmlformats.org/officeDocument/2006/relationships" r:embed="rId19"/>
        <a:stretch>
          <a:fillRect/>
        </a:stretch>
      </xdr:blipFill>
      <xdr:spPr>
        <a:xfrm>
          <a:off x="24159813" y="6938150"/>
          <a:ext cx="4953691" cy="2219635"/>
        </a:xfrm>
        <a:prstGeom prst="rect">
          <a:avLst/>
        </a:prstGeom>
      </xdr:spPr>
    </xdr:pic>
    <xdr:clientData/>
  </xdr:twoCellAnchor>
  <xdr:twoCellAnchor editAs="oneCell">
    <xdr:from>
      <xdr:col>23</xdr:col>
      <xdr:colOff>104543</xdr:colOff>
      <xdr:row>98</xdr:row>
      <xdr:rowOff>11616</xdr:rowOff>
    </xdr:from>
    <xdr:to>
      <xdr:col>29</xdr:col>
      <xdr:colOff>410725</xdr:colOff>
      <xdr:row>111</xdr:row>
      <xdr:rowOff>91417</xdr:rowOff>
    </xdr:to>
    <xdr:pic>
      <xdr:nvPicPr>
        <xdr:cNvPr id="73" name="Imagen 72">
          <a:extLst>
            <a:ext uri="{FF2B5EF4-FFF2-40B4-BE49-F238E27FC236}">
              <a16:creationId xmlns:a16="http://schemas.microsoft.com/office/drawing/2014/main" id="{00000000-0008-0000-0400-000049000000}"/>
            </a:ext>
          </a:extLst>
        </xdr:cNvPr>
        <xdr:cNvPicPr>
          <a:picLocks noChangeAspect="1"/>
        </xdr:cNvPicPr>
      </xdr:nvPicPr>
      <xdr:blipFill>
        <a:blip xmlns:r="http://schemas.openxmlformats.org/officeDocument/2006/relationships" r:embed="rId20"/>
        <a:stretch>
          <a:fillRect/>
        </a:stretch>
      </xdr:blipFill>
      <xdr:spPr>
        <a:xfrm>
          <a:off x="25194787" y="19410092"/>
          <a:ext cx="4906060" cy="2495898"/>
        </a:xfrm>
        <a:prstGeom prst="rect">
          <a:avLst/>
        </a:prstGeom>
      </xdr:spPr>
    </xdr:pic>
    <xdr:clientData/>
  </xdr:twoCellAnchor>
  <xdr:twoCellAnchor editAs="oneCell">
    <xdr:from>
      <xdr:col>22</xdr:col>
      <xdr:colOff>232317</xdr:colOff>
      <xdr:row>221</xdr:row>
      <xdr:rowOff>58080</xdr:rowOff>
    </xdr:from>
    <xdr:to>
      <xdr:col>28</xdr:col>
      <xdr:colOff>586130</xdr:colOff>
      <xdr:row>233</xdr:row>
      <xdr:rowOff>104629</xdr:rowOff>
    </xdr:to>
    <xdr:pic>
      <xdr:nvPicPr>
        <xdr:cNvPr id="75" name="Imagen 74">
          <a:extLst>
            <a:ext uri="{FF2B5EF4-FFF2-40B4-BE49-F238E27FC236}">
              <a16:creationId xmlns:a16="http://schemas.microsoft.com/office/drawing/2014/main" id="{00000000-0008-0000-0400-00004B000000}"/>
            </a:ext>
          </a:extLst>
        </xdr:cNvPr>
        <xdr:cNvPicPr>
          <a:picLocks noChangeAspect="1"/>
        </xdr:cNvPicPr>
      </xdr:nvPicPr>
      <xdr:blipFill>
        <a:blip xmlns:r="http://schemas.openxmlformats.org/officeDocument/2006/relationships" r:embed="rId21"/>
        <a:stretch>
          <a:fillRect/>
        </a:stretch>
      </xdr:blipFill>
      <xdr:spPr>
        <a:xfrm>
          <a:off x="24555915" y="43454909"/>
          <a:ext cx="4953691" cy="2276793"/>
        </a:xfrm>
        <a:prstGeom prst="rect">
          <a:avLst/>
        </a:prstGeom>
      </xdr:spPr>
    </xdr:pic>
    <xdr:clientData/>
  </xdr:twoCellAnchor>
  <xdr:twoCellAnchor editAs="oneCell">
    <xdr:from>
      <xdr:col>23</xdr:col>
      <xdr:colOff>209085</xdr:colOff>
      <xdr:row>160</xdr:row>
      <xdr:rowOff>34847</xdr:rowOff>
    </xdr:from>
    <xdr:to>
      <xdr:col>29</xdr:col>
      <xdr:colOff>553372</xdr:colOff>
      <xdr:row>176</xdr:row>
      <xdr:rowOff>4824</xdr:rowOff>
    </xdr:to>
    <xdr:pic>
      <xdr:nvPicPr>
        <xdr:cNvPr id="36" name="Imagen 35">
          <a:extLst>
            <a:ext uri="{FF2B5EF4-FFF2-40B4-BE49-F238E27FC236}">
              <a16:creationId xmlns:a16="http://schemas.microsoft.com/office/drawing/2014/main" id="{00000000-0008-0000-0400-000024000000}"/>
            </a:ext>
          </a:extLst>
        </xdr:cNvPr>
        <xdr:cNvPicPr>
          <a:picLocks noChangeAspect="1"/>
        </xdr:cNvPicPr>
      </xdr:nvPicPr>
      <xdr:blipFill>
        <a:blip xmlns:r="http://schemas.openxmlformats.org/officeDocument/2006/relationships" r:embed="rId22"/>
        <a:stretch>
          <a:fillRect/>
        </a:stretch>
      </xdr:blipFill>
      <xdr:spPr>
        <a:xfrm>
          <a:off x="25461951" y="31525426"/>
          <a:ext cx="4944165" cy="294363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707570</xdr:colOff>
      <xdr:row>1</xdr:row>
      <xdr:rowOff>108857</xdr:rowOff>
    </xdr:from>
    <xdr:to>
      <xdr:col>10</xdr:col>
      <xdr:colOff>689812</xdr:colOff>
      <xdr:row>9</xdr:row>
      <xdr:rowOff>139814</xdr:rowOff>
    </xdr:to>
    <xdr:pic>
      <xdr:nvPicPr>
        <xdr:cNvPr id="4" name="Imagen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966370" y="308882"/>
          <a:ext cx="1546723" cy="1543051"/>
        </a:xfrm>
        <a:prstGeom prst="rect">
          <a:avLst/>
        </a:prstGeom>
      </xdr:spPr>
    </xdr:pic>
    <xdr:clientData/>
  </xdr:twoCellAnchor>
  <xdr:twoCellAnchor>
    <xdr:from>
      <xdr:col>19</xdr:col>
      <xdr:colOff>372402</xdr:colOff>
      <xdr:row>18</xdr:row>
      <xdr:rowOff>170860</xdr:rowOff>
    </xdr:from>
    <xdr:to>
      <xdr:col>49</xdr:col>
      <xdr:colOff>664946</xdr:colOff>
      <xdr:row>55</xdr:row>
      <xdr:rowOff>59531</xdr:rowOff>
    </xdr:to>
    <xdr:grpSp>
      <xdr:nvGrpSpPr>
        <xdr:cNvPr id="32" name="Grupo 31">
          <a:extLst>
            <a:ext uri="{FF2B5EF4-FFF2-40B4-BE49-F238E27FC236}">
              <a16:creationId xmlns:a16="http://schemas.microsoft.com/office/drawing/2014/main" id="{00000000-0008-0000-0500-000020000000}"/>
            </a:ext>
          </a:extLst>
        </xdr:cNvPr>
        <xdr:cNvGrpSpPr/>
      </xdr:nvGrpSpPr>
      <xdr:grpSpPr>
        <a:xfrm>
          <a:off x="26600170" y="3674699"/>
          <a:ext cx="25726562" cy="7191171"/>
          <a:chOff x="25613830" y="4356100"/>
          <a:chExt cx="23839970" cy="7105524"/>
        </a:xfrm>
      </xdr:grpSpPr>
      <xdr:grpSp>
        <xdr:nvGrpSpPr>
          <xdr:cNvPr id="33" name="Grupo 32">
            <a:extLst>
              <a:ext uri="{FF2B5EF4-FFF2-40B4-BE49-F238E27FC236}">
                <a16:creationId xmlns:a16="http://schemas.microsoft.com/office/drawing/2014/main" id="{00000000-0008-0000-0500-000021000000}"/>
              </a:ext>
            </a:extLst>
          </xdr:cNvPr>
          <xdr:cNvGrpSpPr/>
        </xdr:nvGrpSpPr>
        <xdr:grpSpPr>
          <a:xfrm>
            <a:off x="25613830" y="4543014"/>
            <a:ext cx="7779109" cy="3978686"/>
            <a:chOff x="25613830" y="4543014"/>
            <a:chExt cx="7779109" cy="3978686"/>
          </a:xfrm>
        </xdr:grpSpPr>
        <xdr:pic>
          <xdr:nvPicPr>
            <xdr:cNvPr id="44" name="Imagen 43">
              <a:extLst>
                <a:ext uri="{FF2B5EF4-FFF2-40B4-BE49-F238E27FC236}">
                  <a16:creationId xmlns:a16="http://schemas.microsoft.com/office/drawing/2014/main" id="{00000000-0008-0000-0500-00002C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45899"/>
            <a:stretch/>
          </xdr:blipFill>
          <xdr:spPr>
            <a:xfrm>
              <a:off x="25613830" y="4543014"/>
              <a:ext cx="7779109" cy="3978686"/>
            </a:xfrm>
            <a:prstGeom prst="rect">
              <a:avLst/>
            </a:prstGeom>
          </xdr:spPr>
        </xdr:pic>
        <xdr:sp macro="" textlink="">
          <xdr:nvSpPr>
            <xdr:cNvPr id="45" name="Flecha derecha 44">
              <a:extLst>
                <a:ext uri="{FF2B5EF4-FFF2-40B4-BE49-F238E27FC236}">
                  <a16:creationId xmlns:a16="http://schemas.microsoft.com/office/drawing/2014/main" id="{00000000-0008-0000-0500-00002D000000}"/>
                </a:ext>
              </a:extLst>
            </xdr:cNvPr>
            <xdr:cNvSpPr/>
          </xdr:nvSpPr>
          <xdr:spPr>
            <a:xfrm>
              <a:off x="32036680" y="5789187"/>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34" name="Grupo 33">
            <a:extLst>
              <a:ext uri="{FF2B5EF4-FFF2-40B4-BE49-F238E27FC236}">
                <a16:creationId xmlns:a16="http://schemas.microsoft.com/office/drawing/2014/main" id="{00000000-0008-0000-0500-000022000000}"/>
              </a:ext>
            </a:extLst>
          </xdr:cNvPr>
          <xdr:cNvGrpSpPr/>
        </xdr:nvGrpSpPr>
        <xdr:grpSpPr>
          <a:xfrm>
            <a:off x="33350200" y="4495800"/>
            <a:ext cx="7912100" cy="4004099"/>
            <a:chOff x="33350200" y="4495800"/>
            <a:chExt cx="7912100" cy="4004099"/>
          </a:xfrm>
        </xdr:grpSpPr>
        <xdr:pic>
          <xdr:nvPicPr>
            <xdr:cNvPr id="41" name="Imagen 40">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3350200" y="4495800"/>
              <a:ext cx="7912100" cy="4004099"/>
            </a:xfrm>
            <a:prstGeom prst="rect">
              <a:avLst/>
            </a:prstGeom>
          </xdr:spPr>
        </xdr:pic>
        <xdr:sp macro="" textlink="">
          <xdr:nvSpPr>
            <xdr:cNvPr id="42" name="Flecha derecha 41">
              <a:extLst>
                <a:ext uri="{FF2B5EF4-FFF2-40B4-BE49-F238E27FC236}">
                  <a16:creationId xmlns:a16="http://schemas.microsoft.com/office/drawing/2014/main" id="{00000000-0008-0000-0500-00002A000000}"/>
                </a:ext>
              </a:extLst>
            </xdr:cNvPr>
            <xdr:cNvSpPr/>
          </xdr:nvSpPr>
          <xdr:spPr>
            <a:xfrm>
              <a:off x="39964830" y="49748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sp macro="" textlink="">
          <xdr:nvSpPr>
            <xdr:cNvPr id="43" name="Flecha derecha 42">
              <a:extLst>
                <a:ext uri="{FF2B5EF4-FFF2-40B4-BE49-F238E27FC236}">
                  <a16:creationId xmlns:a16="http://schemas.microsoft.com/office/drawing/2014/main" id="{00000000-0008-0000-0500-00002B000000}"/>
                </a:ext>
              </a:extLst>
            </xdr:cNvPr>
            <xdr:cNvSpPr/>
          </xdr:nvSpPr>
          <xdr:spPr>
            <a:xfrm>
              <a:off x="39926730" y="68798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35" name="Grupo 34">
            <a:extLst>
              <a:ext uri="{FF2B5EF4-FFF2-40B4-BE49-F238E27FC236}">
                <a16:creationId xmlns:a16="http://schemas.microsoft.com/office/drawing/2014/main" id="{00000000-0008-0000-0500-000023000000}"/>
              </a:ext>
            </a:extLst>
          </xdr:cNvPr>
          <xdr:cNvGrpSpPr/>
        </xdr:nvGrpSpPr>
        <xdr:grpSpPr>
          <a:xfrm>
            <a:off x="41186100" y="4356100"/>
            <a:ext cx="8267700" cy="2663341"/>
            <a:chOff x="41186100" y="4356100"/>
            <a:chExt cx="8267700" cy="2663341"/>
          </a:xfrm>
        </xdr:grpSpPr>
        <xdr:pic>
          <xdr:nvPicPr>
            <xdr:cNvPr id="39" name="Imagen 38">
              <a:extLst>
                <a:ext uri="{FF2B5EF4-FFF2-40B4-BE49-F238E27FC236}">
                  <a16:creationId xmlns:a16="http://schemas.microsoft.com/office/drawing/2014/main" id="{00000000-0008-0000-0500-000027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34604"/>
            <a:stretch/>
          </xdr:blipFill>
          <xdr:spPr>
            <a:xfrm>
              <a:off x="41186100" y="4356100"/>
              <a:ext cx="8267700" cy="2663341"/>
            </a:xfrm>
            <a:prstGeom prst="rect">
              <a:avLst/>
            </a:prstGeom>
          </xdr:spPr>
        </xdr:pic>
        <xdr:sp macro="" textlink="">
          <xdr:nvSpPr>
            <xdr:cNvPr id="40" name="Flecha derecha 39">
              <a:extLst>
                <a:ext uri="{FF2B5EF4-FFF2-40B4-BE49-F238E27FC236}">
                  <a16:creationId xmlns:a16="http://schemas.microsoft.com/office/drawing/2014/main" id="{00000000-0008-0000-0500-000028000000}"/>
                </a:ext>
              </a:extLst>
            </xdr:cNvPr>
            <xdr:cNvSpPr/>
          </xdr:nvSpPr>
          <xdr:spPr>
            <a:xfrm>
              <a:off x="45044830" y="63210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36" name="Grupo 35">
            <a:extLst>
              <a:ext uri="{FF2B5EF4-FFF2-40B4-BE49-F238E27FC236}">
                <a16:creationId xmlns:a16="http://schemas.microsoft.com/office/drawing/2014/main" id="{00000000-0008-0000-0500-000024000000}"/>
              </a:ext>
            </a:extLst>
          </xdr:cNvPr>
          <xdr:cNvGrpSpPr/>
        </xdr:nvGrpSpPr>
        <xdr:grpSpPr>
          <a:xfrm>
            <a:off x="41262300" y="7023099"/>
            <a:ext cx="8128000" cy="4438525"/>
            <a:chOff x="41262300" y="7023099"/>
            <a:chExt cx="8128000" cy="4438525"/>
          </a:xfrm>
        </xdr:grpSpPr>
        <xdr:pic>
          <xdr:nvPicPr>
            <xdr:cNvPr id="37" name="Imagen 36">
              <a:extLst>
                <a:ext uri="{FF2B5EF4-FFF2-40B4-BE49-F238E27FC236}">
                  <a16:creationId xmlns:a16="http://schemas.microsoft.com/office/drawing/2014/main" id="{00000000-0008-0000-0500-000025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4167" r="1389"/>
            <a:stretch/>
          </xdr:blipFill>
          <xdr:spPr>
            <a:xfrm>
              <a:off x="41262300" y="7023099"/>
              <a:ext cx="8128000" cy="4438525"/>
            </a:xfrm>
            <a:prstGeom prst="rect">
              <a:avLst/>
            </a:prstGeom>
          </xdr:spPr>
        </xdr:pic>
        <xdr:sp macro="" textlink="">
          <xdr:nvSpPr>
            <xdr:cNvPr id="38" name="Flecha derecha 37">
              <a:extLst>
                <a:ext uri="{FF2B5EF4-FFF2-40B4-BE49-F238E27FC236}">
                  <a16:creationId xmlns:a16="http://schemas.microsoft.com/office/drawing/2014/main" id="{00000000-0008-0000-0500-000026000000}"/>
                </a:ext>
              </a:extLst>
            </xdr:cNvPr>
            <xdr:cNvSpPr/>
          </xdr:nvSpPr>
          <xdr:spPr>
            <a:xfrm>
              <a:off x="48044100" y="7493000"/>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707570</xdr:colOff>
      <xdr:row>1</xdr:row>
      <xdr:rowOff>108857</xdr:rowOff>
    </xdr:from>
    <xdr:to>
      <xdr:col>10</xdr:col>
      <xdr:colOff>674238</xdr:colOff>
      <xdr:row>9</xdr:row>
      <xdr:rowOff>127908</xdr:rowOff>
    </xdr:to>
    <xdr:pic>
      <xdr:nvPicPr>
        <xdr:cNvPr id="3" name="Imagen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966370" y="308882"/>
          <a:ext cx="1546723" cy="1543051"/>
        </a:xfrm>
        <a:prstGeom prst="rect">
          <a:avLst/>
        </a:prstGeom>
      </xdr:spPr>
    </xdr:pic>
    <xdr:clientData/>
  </xdr:twoCellAnchor>
  <xdr:twoCellAnchor>
    <xdr:from>
      <xdr:col>19</xdr:col>
      <xdr:colOff>15214</xdr:colOff>
      <xdr:row>18</xdr:row>
      <xdr:rowOff>111329</xdr:rowOff>
    </xdr:from>
    <xdr:to>
      <xdr:col>49</xdr:col>
      <xdr:colOff>307758</xdr:colOff>
      <xdr:row>55</xdr:row>
      <xdr:rowOff>0</xdr:rowOff>
    </xdr:to>
    <xdr:grpSp>
      <xdr:nvGrpSpPr>
        <xdr:cNvPr id="4" name="Grupo 3">
          <a:extLst>
            <a:ext uri="{FF2B5EF4-FFF2-40B4-BE49-F238E27FC236}">
              <a16:creationId xmlns:a16="http://schemas.microsoft.com/office/drawing/2014/main" id="{00000000-0008-0000-0600-000004000000}"/>
            </a:ext>
          </a:extLst>
        </xdr:cNvPr>
        <xdr:cNvGrpSpPr/>
      </xdr:nvGrpSpPr>
      <xdr:grpSpPr>
        <a:xfrm>
          <a:off x="25658493" y="3525485"/>
          <a:ext cx="26331668" cy="6952015"/>
          <a:chOff x="25613830" y="4356100"/>
          <a:chExt cx="23839970" cy="7105524"/>
        </a:xfrm>
      </xdr:grpSpPr>
      <xdr:grpSp>
        <xdr:nvGrpSpPr>
          <xdr:cNvPr id="5" name="Grupo 4">
            <a:extLst>
              <a:ext uri="{FF2B5EF4-FFF2-40B4-BE49-F238E27FC236}">
                <a16:creationId xmlns:a16="http://schemas.microsoft.com/office/drawing/2014/main" id="{00000000-0008-0000-0600-000005000000}"/>
              </a:ext>
            </a:extLst>
          </xdr:cNvPr>
          <xdr:cNvGrpSpPr/>
        </xdr:nvGrpSpPr>
        <xdr:grpSpPr>
          <a:xfrm>
            <a:off x="25613830" y="4543014"/>
            <a:ext cx="7779109" cy="3978686"/>
            <a:chOff x="25613830" y="4543014"/>
            <a:chExt cx="7779109" cy="3978686"/>
          </a:xfrm>
        </xdr:grpSpPr>
        <xdr:pic>
          <xdr:nvPicPr>
            <xdr:cNvPr id="16" name="Imagen 15">
              <a:extLst>
                <a:ext uri="{FF2B5EF4-FFF2-40B4-BE49-F238E27FC236}">
                  <a16:creationId xmlns:a16="http://schemas.microsoft.com/office/drawing/2014/main" id="{00000000-0008-0000-0600-000010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45899"/>
            <a:stretch/>
          </xdr:blipFill>
          <xdr:spPr>
            <a:xfrm>
              <a:off x="25613830" y="4543014"/>
              <a:ext cx="7779109" cy="3978686"/>
            </a:xfrm>
            <a:prstGeom prst="rect">
              <a:avLst/>
            </a:prstGeom>
          </xdr:spPr>
        </xdr:pic>
        <xdr:sp macro="" textlink="">
          <xdr:nvSpPr>
            <xdr:cNvPr id="17" name="Flecha derecha 16">
              <a:extLst>
                <a:ext uri="{FF2B5EF4-FFF2-40B4-BE49-F238E27FC236}">
                  <a16:creationId xmlns:a16="http://schemas.microsoft.com/office/drawing/2014/main" id="{00000000-0008-0000-0600-000011000000}"/>
                </a:ext>
              </a:extLst>
            </xdr:cNvPr>
            <xdr:cNvSpPr/>
          </xdr:nvSpPr>
          <xdr:spPr>
            <a:xfrm>
              <a:off x="32036680" y="5789187"/>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6" name="Grupo 5">
            <a:extLst>
              <a:ext uri="{FF2B5EF4-FFF2-40B4-BE49-F238E27FC236}">
                <a16:creationId xmlns:a16="http://schemas.microsoft.com/office/drawing/2014/main" id="{00000000-0008-0000-0600-000006000000}"/>
              </a:ext>
            </a:extLst>
          </xdr:cNvPr>
          <xdr:cNvGrpSpPr/>
        </xdr:nvGrpSpPr>
        <xdr:grpSpPr>
          <a:xfrm>
            <a:off x="33350200" y="4495800"/>
            <a:ext cx="7912100" cy="4004099"/>
            <a:chOff x="33350200" y="4495800"/>
            <a:chExt cx="7912100" cy="4004099"/>
          </a:xfrm>
        </xdr:grpSpPr>
        <xdr:pic>
          <xdr:nvPicPr>
            <xdr:cNvPr id="13" name="Imagen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3350200" y="4495800"/>
              <a:ext cx="7912100" cy="4004099"/>
            </a:xfrm>
            <a:prstGeom prst="rect">
              <a:avLst/>
            </a:prstGeom>
          </xdr:spPr>
        </xdr:pic>
        <xdr:sp macro="" textlink="">
          <xdr:nvSpPr>
            <xdr:cNvPr id="14" name="Flecha derecha 13">
              <a:extLst>
                <a:ext uri="{FF2B5EF4-FFF2-40B4-BE49-F238E27FC236}">
                  <a16:creationId xmlns:a16="http://schemas.microsoft.com/office/drawing/2014/main" id="{00000000-0008-0000-0600-00000E000000}"/>
                </a:ext>
              </a:extLst>
            </xdr:cNvPr>
            <xdr:cNvSpPr/>
          </xdr:nvSpPr>
          <xdr:spPr>
            <a:xfrm>
              <a:off x="39964830" y="49748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sp macro="" textlink="">
          <xdr:nvSpPr>
            <xdr:cNvPr id="15" name="Flecha derecha 14">
              <a:extLst>
                <a:ext uri="{FF2B5EF4-FFF2-40B4-BE49-F238E27FC236}">
                  <a16:creationId xmlns:a16="http://schemas.microsoft.com/office/drawing/2014/main" id="{00000000-0008-0000-0600-00000F000000}"/>
                </a:ext>
              </a:extLst>
            </xdr:cNvPr>
            <xdr:cNvSpPr/>
          </xdr:nvSpPr>
          <xdr:spPr>
            <a:xfrm>
              <a:off x="39926730" y="68798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7" name="Grupo 6">
            <a:extLst>
              <a:ext uri="{FF2B5EF4-FFF2-40B4-BE49-F238E27FC236}">
                <a16:creationId xmlns:a16="http://schemas.microsoft.com/office/drawing/2014/main" id="{00000000-0008-0000-0600-000007000000}"/>
              </a:ext>
            </a:extLst>
          </xdr:cNvPr>
          <xdr:cNvGrpSpPr/>
        </xdr:nvGrpSpPr>
        <xdr:grpSpPr>
          <a:xfrm>
            <a:off x="41186100" y="4356100"/>
            <a:ext cx="8267700" cy="2663341"/>
            <a:chOff x="41186100" y="4356100"/>
            <a:chExt cx="8267700" cy="2663341"/>
          </a:xfrm>
        </xdr:grpSpPr>
        <xdr:pic>
          <xdr:nvPicPr>
            <xdr:cNvPr id="11" name="Imagen 10">
              <a:extLst>
                <a:ext uri="{FF2B5EF4-FFF2-40B4-BE49-F238E27FC236}">
                  <a16:creationId xmlns:a16="http://schemas.microsoft.com/office/drawing/2014/main" id="{00000000-0008-0000-0600-00000B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34604"/>
            <a:stretch/>
          </xdr:blipFill>
          <xdr:spPr>
            <a:xfrm>
              <a:off x="41186100" y="4356100"/>
              <a:ext cx="8267700" cy="2663341"/>
            </a:xfrm>
            <a:prstGeom prst="rect">
              <a:avLst/>
            </a:prstGeom>
          </xdr:spPr>
        </xdr:pic>
        <xdr:sp macro="" textlink="">
          <xdr:nvSpPr>
            <xdr:cNvPr id="12" name="Flecha derecha 11">
              <a:extLst>
                <a:ext uri="{FF2B5EF4-FFF2-40B4-BE49-F238E27FC236}">
                  <a16:creationId xmlns:a16="http://schemas.microsoft.com/office/drawing/2014/main" id="{00000000-0008-0000-0600-00000C000000}"/>
                </a:ext>
              </a:extLst>
            </xdr:cNvPr>
            <xdr:cNvSpPr/>
          </xdr:nvSpPr>
          <xdr:spPr>
            <a:xfrm>
              <a:off x="45044830" y="63210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8" name="Grupo 7">
            <a:extLst>
              <a:ext uri="{FF2B5EF4-FFF2-40B4-BE49-F238E27FC236}">
                <a16:creationId xmlns:a16="http://schemas.microsoft.com/office/drawing/2014/main" id="{00000000-0008-0000-0600-000008000000}"/>
              </a:ext>
            </a:extLst>
          </xdr:cNvPr>
          <xdr:cNvGrpSpPr/>
        </xdr:nvGrpSpPr>
        <xdr:grpSpPr>
          <a:xfrm>
            <a:off x="41262300" y="7023099"/>
            <a:ext cx="8128000" cy="4438525"/>
            <a:chOff x="41262300" y="7023099"/>
            <a:chExt cx="8128000" cy="4438525"/>
          </a:xfrm>
        </xdr:grpSpPr>
        <xdr:pic>
          <xdr:nvPicPr>
            <xdr:cNvPr id="9" name="Imagen 8">
              <a:extLst>
                <a:ext uri="{FF2B5EF4-FFF2-40B4-BE49-F238E27FC236}">
                  <a16:creationId xmlns:a16="http://schemas.microsoft.com/office/drawing/2014/main" id="{00000000-0008-0000-0600-000009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4167" r="1389"/>
            <a:stretch/>
          </xdr:blipFill>
          <xdr:spPr>
            <a:xfrm>
              <a:off x="41262300" y="7023099"/>
              <a:ext cx="8128000" cy="4438525"/>
            </a:xfrm>
            <a:prstGeom prst="rect">
              <a:avLst/>
            </a:prstGeom>
          </xdr:spPr>
        </xdr:pic>
        <xdr:sp macro="" textlink="">
          <xdr:nvSpPr>
            <xdr:cNvPr id="10" name="Flecha derecha 9">
              <a:extLst>
                <a:ext uri="{FF2B5EF4-FFF2-40B4-BE49-F238E27FC236}">
                  <a16:creationId xmlns:a16="http://schemas.microsoft.com/office/drawing/2014/main" id="{00000000-0008-0000-0600-00000A000000}"/>
                </a:ext>
              </a:extLst>
            </xdr:cNvPr>
            <xdr:cNvSpPr/>
          </xdr:nvSpPr>
          <xdr:spPr>
            <a:xfrm>
              <a:off x="48044100" y="7493000"/>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clientData/>
  </xdr:twoCellAnchor>
</xdr:wsDr>
</file>

<file path=xl/drawings/drawing7.xml><?xml version="1.0" encoding="utf-8"?>
<xdr:wsDr xmlns:xdr="http://schemas.openxmlformats.org/drawingml/2006/spreadsheetDrawing" xmlns:a="http://schemas.openxmlformats.org/drawingml/2006/main">
  <xdr:twoCellAnchor editAs="oneCell">
    <xdr:from>
      <xdr:col>9</xdr:col>
      <xdr:colOff>707570</xdr:colOff>
      <xdr:row>1</xdr:row>
      <xdr:rowOff>108857</xdr:rowOff>
    </xdr:from>
    <xdr:to>
      <xdr:col>10</xdr:col>
      <xdr:colOff>757811</xdr:colOff>
      <xdr:row>9</xdr:row>
      <xdr:rowOff>127908</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966370" y="308882"/>
          <a:ext cx="1546723" cy="1543051"/>
        </a:xfrm>
        <a:prstGeom prst="rect">
          <a:avLst/>
        </a:prstGeom>
      </xdr:spPr>
    </xdr:pic>
    <xdr:clientData/>
  </xdr:twoCellAnchor>
  <xdr:twoCellAnchor>
    <xdr:from>
      <xdr:col>19</xdr:col>
      <xdr:colOff>15214</xdr:colOff>
      <xdr:row>18</xdr:row>
      <xdr:rowOff>111329</xdr:rowOff>
    </xdr:from>
    <xdr:to>
      <xdr:col>49</xdr:col>
      <xdr:colOff>307758</xdr:colOff>
      <xdr:row>55</xdr:row>
      <xdr:rowOff>0</xdr:rowOff>
    </xdr:to>
    <xdr:grpSp>
      <xdr:nvGrpSpPr>
        <xdr:cNvPr id="18" name="Grupo 17">
          <a:extLst>
            <a:ext uri="{FF2B5EF4-FFF2-40B4-BE49-F238E27FC236}">
              <a16:creationId xmlns:a16="http://schemas.microsoft.com/office/drawing/2014/main" id="{00000000-0008-0000-0700-000012000000}"/>
            </a:ext>
          </a:extLst>
        </xdr:cNvPr>
        <xdr:cNvGrpSpPr/>
      </xdr:nvGrpSpPr>
      <xdr:grpSpPr>
        <a:xfrm>
          <a:off x="24757535" y="3649186"/>
          <a:ext cx="26010044" cy="7191171"/>
          <a:chOff x="25613830" y="4356100"/>
          <a:chExt cx="23839970" cy="7105524"/>
        </a:xfrm>
      </xdr:grpSpPr>
      <xdr:grpSp>
        <xdr:nvGrpSpPr>
          <xdr:cNvPr id="19" name="Grupo 18">
            <a:extLst>
              <a:ext uri="{FF2B5EF4-FFF2-40B4-BE49-F238E27FC236}">
                <a16:creationId xmlns:a16="http://schemas.microsoft.com/office/drawing/2014/main" id="{00000000-0008-0000-0700-000013000000}"/>
              </a:ext>
            </a:extLst>
          </xdr:cNvPr>
          <xdr:cNvGrpSpPr/>
        </xdr:nvGrpSpPr>
        <xdr:grpSpPr>
          <a:xfrm>
            <a:off x="25613830" y="4543014"/>
            <a:ext cx="7779109" cy="3978686"/>
            <a:chOff x="25613830" y="4543014"/>
            <a:chExt cx="7779109" cy="3978686"/>
          </a:xfrm>
        </xdr:grpSpPr>
        <xdr:pic>
          <xdr:nvPicPr>
            <xdr:cNvPr id="30" name="Imagen 29">
              <a:extLst>
                <a:ext uri="{FF2B5EF4-FFF2-40B4-BE49-F238E27FC236}">
                  <a16:creationId xmlns:a16="http://schemas.microsoft.com/office/drawing/2014/main" id="{00000000-0008-0000-0700-00001E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45899"/>
            <a:stretch/>
          </xdr:blipFill>
          <xdr:spPr>
            <a:xfrm>
              <a:off x="25613830" y="4543014"/>
              <a:ext cx="7779109" cy="3978686"/>
            </a:xfrm>
            <a:prstGeom prst="rect">
              <a:avLst/>
            </a:prstGeom>
          </xdr:spPr>
        </xdr:pic>
        <xdr:sp macro="" textlink="">
          <xdr:nvSpPr>
            <xdr:cNvPr id="31" name="Flecha derecha 30">
              <a:extLst>
                <a:ext uri="{FF2B5EF4-FFF2-40B4-BE49-F238E27FC236}">
                  <a16:creationId xmlns:a16="http://schemas.microsoft.com/office/drawing/2014/main" id="{00000000-0008-0000-0700-00001F000000}"/>
                </a:ext>
              </a:extLst>
            </xdr:cNvPr>
            <xdr:cNvSpPr/>
          </xdr:nvSpPr>
          <xdr:spPr>
            <a:xfrm>
              <a:off x="32036680" y="5789187"/>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20" name="Grupo 19">
            <a:extLst>
              <a:ext uri="{FF2B5EF4-FFF2-40B4-BE49-F238E27FC236}">
                <a16:creationId xmlns:a16="http://schemas.microsoft.com/office/drawing/2014/main" id="{00000000-0008-0000-0700-000014000000}"/>
              </a:ext>
            </a:extLst>
          </xdr:cNvPr>
          <xdr:cNvGrpSpPr/>
        </xdr:nvGrpSpPr>
        <xdr:grpSpPr>
          <a:xfrm>
            <a:off x="33350200" y="4495800"/>
            <a:ext cx="7912100" cy="4004099"/>
            <a:chOff x="33350200" y="4495800"/>
            <a:chExt cx="7912100" cy="4004099"/>
          </a:xfrm>
        </xdr:grpSpPr>
        <xdr:pic>
          <xdr:nvPicPr>
            <xdr:cNvPr id="27" name="Imagen 26">
              <a:extLst>
                <a:ext uri="{FF2B5EF4-FFF2-40B4-BE49-F238E27FC236}">
                  <a16:creationId xmlns:a16="http://schemas.microsoft.com/office/drawing/2014/main" id="{00000000-0008-0000-0700-00001B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3350200" y="4495800"/>
              <a:ext cx="7912100" cy="4004099"/>
            </a:xfrm>
            <a:prstGeom prst="rect">
              <a:avLst/>
            </a:prstGeom>
          </xdr:spPr>
        </xdr:pic>
        <xdr:sp macro="" textlink="">
          <xdr:nvSpPr>
            <xdr:cNvPr id="28" name="Flecha derecha 27">
              <a:extLst>
                <a:ext uri="{FF2B5EF4-FFF2-40B4-BE49-F238E27FC236}">
                  <a16:creationId xmlns:a16="http://schemas.microsoft.com/office/drawing/2014/main" id="{00000000-0008-0000-0700-00001C000000}"/>
                </a:ext>
              </a:extLst>
            </xdr:cNvPr>
            <xdr:cNvSpPr/>
          </xdr:nvSpPr>
          <xdr:spPr>
            <a:xfrm>
              <a:off x="39964830" y="49748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sp macro="" textlink="">
          <xdr:nvSpPr>
            <xdr:cNvPr id="29" name="Flecha derecha 28">
              <a:extLst>
                <a:ext uri="{FF2B5EF4-FFF2-40B4-BE49-F238E27FC236}">
                  <a16:creationId xmlns:a16="http://schemas.microsoft.com/office/drawing/2014/main" id="{00000000-0008-0000-0700-00001D000000}"/>
                </a:ext>
              </a:extLst>
            </xdr:cNvPr>
            <xdr:cNvSpPr/>
          </xdr:nvSpPr>
          <xdr:spPr>
            <a:xfrm>
              <a:off x="39926730" y="68798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21" name="Grupo 20">
            <a:extLst>
              <a:ext uri="{FF2B5EF4-FFF2-40B4-BE49-F238E27FC236}">
                <a16:creationId xmlns:a16="http://schemas.microsoft.com/office/drawing/2014/main" id="{00000000-0008-0000-0700-000015000000}"/>
              </a:ext>
            </a:extLst>
          </xdr:cNvPr>
          <xdr:cNvGrpSpPr/>
        </xdr:nvGrpSpPr>
        <xdr:grpSpPr>
          <a:xfrm>
            <a:off x="41186100" y="4356100"/>
            <a:ext cx="8267700" cy="2663341"/>
            <a:chOff x="41186100" y="4356100"/>
            <a:chExt cx="8267700" cy="2663341"/>
          </a:xfrm>
        </xdr:grpSpPr>
        <xdr:pic>
          <xdr:nvPicPr>
            <xdr:cNvPr id="25" name="Imagen 24">
              <a:extLst>
                <a:ext uri="{FF2B5EF4-FFF2-40B4-BE49-F238E27FC236}">
                  <a16:creationId xmlns:a16="http://schemas.microsoft.com/office/drawing/2014/main" id="{00000000-0008-0000-0700-000019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34604"/>
            <a:stretch/>
          </xdr:blipFill>
          <xdr:spPr>
            <a:xfrm>
              <a:off x="41186100" y="4356100"/>
              <a:ext cx="8267700" cy="2663341"/>
            </a:xfrm>
            <a:prstGeom prst="rect">
              <a:avLst/>
            </a:prstGeom>
          </xdr:spPr>
        </xdr:pic>
        <xdr:sp macro="" textlink="">
          <xdr:nvSpPr>
            <xdr:cNvPr id="26" name="Flecha derecha 25">
              <a:extLst>
                <a:ext uri="{FF2B5EF4-FFF2-40B4-BE49-F238E27FC236}">
                  <a16:creationId xmlns:a16="http://schemas.microsoft.com/office/drawing/2014/main" id="{00000000-0008-0000-0700-00001A000000}"/>
                </a:ext>
              </a:extLst>
            </xdr:cNvPr>
            <xdr:cNvSpPr/>
          </xdr:nvSpPr>
          <xdr:spPr>
            <a:xfrm>
              <a:off x="45044830" y="63210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22" name="Grupo 21">
            <a:extLst>
              <a:ext uri="{FF2B5EF4-FFF2-40B4-BE49-F238E27FC236}">
                <a16:creationId xmlns:a16="http://schemas.microsoft.com/office/drawing/2014/main" id="{00000000-0008-0000-0700-000016000000}"/>
              </a:ext>
            </a:extLst>
          </xdr:cNvPr>
          <xdr:cNvGrpSpPr/>
        </xdr:nvGrpSpPr>
        <xdr:grpSpPr>
          <a:xfrm>
            <a:off x="41262300" y="7023099"/>
            <a:ext cx="8128000" cy="4438525"/>
            <a:chOff x="41262300" y="7023099"/>
            <a:chExt cx="8128000" cy="4438525"/>
          </a:xfrm>
        </xdr:grpSpPr>
        <xdr:pic>
          <xdr:nvPicPr>
            <xdr:cNvPr id="23" name="Imagen 22">
              <a:extLst>
                <a:ext uri="{FF2B5EF4-FFF2-40B4-BE49-F238E27FC236}">
                  <a16:creationId xmlns:a16="http://schemas.microsoft.com/office/drawing/2014/main" id="{00000000-0008-0000-0700-000017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4167" r="1389"/>
            <a:stretch/>
          </xdr:blipFill>
          <xdr:spPr>
            <a:xfrm>
              <a:off x="41262300" y="7023099"/>
              <a:ext cx="8128000" cy="4438525"/>
            </a:xfrm>
            <a:prstGeom prst="rect">
              <a:avLst/>
            </a:prstGeom>
          </xdr:spPr>
        </xdr:pic>
        <xdr:sp macro="" textlink="">
          <xdr:nvSpPr>
            <xdr:cNvPr id="24" name="Flecha derecha 23">
              <a:extLst>
                <a:ext uri="{FF2B5EF4-FFF2-40B4-BE49-F238E27FC236}">
                  <a16:creationId xmlns:a16="http://schemas.microsoft.com/office/drawing/2014/main" id="{00000000-0008-0000-0700-000018000000}"/>
                </a:ext>
              </a:extLst>
            </xdr:cNvPr>
            <xdr:cNvSpPr/>
          </xdr:nvSpPr>
          <xdr:spPr>
            <a:xfrm>
              <a:off x="48044100" y="7493000"/>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clientData/>
  </xdr:twoCellAnchor>
</xdr:wsDr>
</file>

<file path=xl/drawings/drawing8.xml><?xml version="1.0" encoding="utf-8"?>
<xdr:wsDr xmlns:xdr="http://schemas.openxmlformats.org/drawingml/2006/spreadsheetDrawing" xmlns:a="http://schemas.openxmlformats.org/drawingml/2006/main">
  <xdr:twoCellAnchor editAs="oneCell">
    <xdr:from>
      <xdr:col>9</xdr:col>
      <xdr:colOff>707570</xdr:colOff>
      <xdr:row>1</xdr:row>
      <xdr:rowOff>108857</xdr:rowOff>
    </xdr:from>
    <xdr:to>
      <xdr:col>10</xdr:col>
      <xdr:colOff>479468</xdr:colOff>
      <xdr:row>9</xdr:row>
      <xdr:rowOff>118383</xdr:rowOff>
    </xdr:to>
    <xdr:pic>
      <xdr:nvPicPr>
        <xdr:cNvPr id="2" name="Imagen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356770" y="308882"/>
          <a:ext cx="1538968" cy="1533526"/>
        </a:xfrm>
        <a:prstGeom prst="rect">
          <a:avLst/>
        </a:prstGeom>
      </xdr:spPr>
    </xdr:pic>
    <xdr:clientData/>
  </xdr:twoCellAnchor>
  <xdr:twoCellAnchor>
    <xdr:from>
      <xdr:col>19</xdr:col>
      <xdr:colOff>15214</xdr:colOff>
      <xdr:row>18</xdr:row>
      <xdr:rowOff>111329</xdr:rowOff>
    </xdr:from>
    <xdr:to>
      <xdr:col>49</xdr:col>
      <xdr:colOff>307758</xdr:colOff>
      <xdr:row>55</xdr:row>
      <xdr:rowOff>0</xdr:rowOff>
    </xdr:to>
    <xdr:grpSp>
      <xdr:nvGrpSpPr>
        <xdr:cNvPr id="19" name="Grupo 18">
          <a:extLst>
            <a:ext uri="{FF2B5EF4-FFF2-40B4-BE49-F238E27FC236}">
              <a16:creationId xmlns:a16="http://schemas.microsoft.com/office/drawing/2014/main" id="{00000000-0008-0000-0800-000013000000}"/>
            </a:ext>
          </a:extLst>
        </xdr:cNvPr>
        <xdr:cNvGrpSpPr/>
      </xdr:nvGrpSpPr>
      <xdr:grpSpPr>
        <a:xfrm>
          <a:off x="26763502" y="3634274"/>
          <a:ext cx="26453674" cy="7130281"/>
          <a:chOff x="25613830" y="4356100"/>
          <a:chExt cx="23839970" cy="7105524"/>
        </a:xfrm>
      </xdr:grpSpPr>
      <xdr:grpSp>
        <xdr:nvGrpSpPr>
          <xdr:cNvPr id="20" name="Grupo 19">
            <a:extLst>
              <a:ext uri="{FF2B5EF4-FFF2-40B4-BE49-F238E27FC236}">
                <a16:creationId xmlns:a16="http://schemas.microsoft.com/office/drawing/2014/main" id="{00000000-0008-0000-0800-000014000000}"/>
              </a:ext>
            </a:extLst>
          </xdr:cNvPr>
          <xdr:cNvGrpSpPr/>
        </xdr:nvGrpSpPr>
        <xdr:grpSpPr>
          <a:xfrm>
            <a:off x="25613830" y="4543014"/>
            <a:ext cx="7779109" cy="3978686"/>
            <a:chOff x="25613830" y="4543014"/>
            <a:chExt cx="7779109" cy="3978686"/>
          </a:xfrm>
        </xdr:grpSpPr>
        <xdr:pic>
          <xdr:nvPicPr>
            <xdr:cNvPr id="31" name="Imagen 30">
              <a:extLst>
                <a:ext uri="{FF2B5EF4-FFF2-40B4-BE49-F238E27FC236}">
                  <a16:creationId xmlns:a16="http://schemas.microsoft.com/office/drawing/2014/main" id="{00000000-0008-0000-0800-00001F000000}"/>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b="45899"/>
            <a:stretch/>
          </xdr:blipFill>
          <xdr:spPr>
            <a:xfrm>
              <a:off x="25613830" y="4543014"/>
              <a:ext cx="7779109" cy="3978686"/>
            </a:xfrm>
            <a:prstGeom prst="rect">
              <a:avLst/>
            </a:prstGeom>
          </xdr:spPr>
        </xdr:pic>
        <xdr:sp macro="" textlink="">
          <xdr:nvSpPr>
            <xdr:cNvPr id="32" name="Flecha derecha 31">
              <a:extLst>
                <a:ext uri="{FF2B5EF4-FFF2-40B4-BE49-F238E27FC236}">
                  <a16:creationId xmlns:a16="http://schemas.microsoft.com/office/drawing/2014/main" id="{00000000-0008-0000-0800-000020000000}"/>
                </a:ext>
              </a:extLst>
            </xdr:cNvPr>
            <xdr:cNvSpPr/>
          </xdr:nvSpPr>
          <xdr:spPr>
            <a:xfrm>
              <a:off x="32036680" y="5789187"/>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21" name="Grupo 20">
            <a:extLst>
              <a:ext uri="{FF2B5EF4-FFF2-40B4-BE49-F238E27FC236}">
                <a16:creationId xmlns:a16="http://schemas.microsoft.com/office/drawing/2014/main" id="{00000000-0008-0000-0800-000015000000}"/>
              </a:ext>
            </a:extLst>
          </xdr:cNvPr>
          <xdr:cNvGrpSpPr/>
        </xdr:nvGrpSpPr>
        <xdr:grpSpPr>
          <a:xfrm>
            <a:off x="33350200" y="4495800"/>
            <a:ext cx="7912100" cy="4004099"/>
            <a:chOff x="33350200" y="4495800"/>
            <a:chExt cx="7912100" cy="4004099"/>
          </a:xfrm>
        </xdr:grpSpPr>
        <xdr:pic>
          <xdr:nvPicPr>
            <xdr:cNvPr id="28" name="Imagen 27">
              <a:extLst>
                <a:ext uri="{FF2B5EF4-FFF2-40B4-BE49-F238E27FC236}">
                  <a16:creationId xmlns:a16="http://schemas.microsoft.com/office/drawing/2014/main" id="{00000000-0008-0000-0800-00001C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3350200" y="4495800"/>
              <a:ext cx="7912100" cy="4004099"/>
            </a:xfrm>
            <a:prstGeom prst="rect">
              <a:avLst/>
            </a:prstGeom>
          </xdr:spPr>
        </xdr:pic>
        <xdr:sp macro="" textlink="">
          <xdr:nvSpPr>
            <xdr:cNvPr id="29" name="Flecha derecha 28">
              <a:extLst>
                <a:ext uri="{FF2B5EF4-FFF2-40B4-BE49-F238E27FC236}">
                  <a16:creationId xmlns:a16="http://schemas.microsoft.com/office/drawing/2014/main" id="{00000000-0008-0000-0800-00001D000000}"/>
                </a:ext>
              </a:extLst>
            </xdr:cNvPr>
            <xdr:cNvSpPr/>
          </xdr:nvSpPr>
          <xdr:spPr>
            <a:xfrm>
              <a:off x="39964830" y="49748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sp macro="" textlink="">
          <xdr:nvSpPr>
            <xdr:cNvPr id="30" name="Flecha derecha 29">
              <a:extLst>
                <a:ext uri="{FF2B5EF4-FFF2-40B4-BE49-F238E27FC236}">
                  <a16:creationId xmlns:a16="http://schemas.microsoft.com/office/drawing/2014/main" id="{00000000-0008-0000-0800-00001E000000}"/>
                </a:ext>
              </a:extLst>
            </xdr:cNvPr>
            <xdr:cNvSpPr/>
          </xdr:nvSpPr>
          <xdr:spPr>
            <a:xfrm>
              <a:off x="39926730" y="68798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22" name="Grupo 21">
            <a:extLst>
              <a:ext uri="{FF2B5EF4-FFF2-40B4-BE49-F238E27FC236}">
                <a16:creationId xmlns:a16="http://schemas.microsoft.com/office/drawing/2014/main" id="{00000000-0008-0000-0800-000016000000}"/>
              </a:ext>
            </a:extLst>
          </xdr:cNvPr>
          <xdr:cNvGrpSpPr/>
        </xdr:nvGrpSpPr>
        <xdr:grpSpPr>
          <a:xfrm>
            <a:off x="41186100" y="4356100"/>
            <a:ext cx="8267700" cy="2663341"/>
            <a:chOff x="41186100" y="4356100"/>
            <a:chExt cx="8267700" cy="2663341"/>
          </a:xfrm>
        </xdr:grpSpPr>
        <xdr:pic>
          <xdr:nvPicPr>
            <xdr:cNvPr id="26" name="Imagen 25">
              <a:extLst>
                <a:ext uri="{FF2B5EF4-FFF2-40B4-BE49-F238E27FC236}">
                  <a16:creationId xmlns:a16="http://schemas.microsoft.com/office/drawing/2014/main" id="{00000000-0008-0000-0800-00001A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34604"/>
            <a:stretch/>
          </xdr:blipFill>
          <xdr:spPr>
            <a:xfrm>
              <a:off x="41186100" y="4356100"/>
              <a:ext cx="8267700" cy="2663341"/>
            </a:xfrm>
            <a:prstGeom prst="rect">
              <a:avLst/>
            </a:prstGeom>
          </xdr:spPr>
        </xdr:pic>
        <xdr:sp macro="" textlink="">
          <xdr:nvSpPr>
            <xdr:cNvPr id="27" name="Flecha derecha 26">
              <a:extLst>
                <a:ext uri="{FF2B5EF4-FFF2-40B4-BE49-F238E27FC236}">
                  <a16:creationId xmlns:a16="http://schemas.microsoft.com/office/drawing/2014/main" id="{00000000-0008-0000-0800-00001B000000}"/>
                </a:ext>
              </a:extLst>
            </xdr:cNvPr>
            <xdr:cNvSpPr/>
          </xdr:nvSpPr>
          <xdr:spPr>
            <a:xfrm>
              <a:off x="45044830" y="6321014"/>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nvGrpSpPr>
          <xdr:cNvPr id="23" name="Grupo 22">
            <a:extLst>
              <a:ext uri="{FF2B5EF4-FFF2-40B4-BE49-F238E27FC236}">
                <a16:creationId xmlns:a16="http://schemas.microsoft.com/office/drawing/2014/main" id="{00000000-0008-0000-0800-000017000000}"/>
              </a:ext>
            </a:extLst>
          </xdr:cNvPr>
          <xdr:cNvGrpSpPr/>
        </xdr:nvGrpSpPr>
        <xdr:grpSpPr>
          <a:xfrm>
            <a:off x="41262300" y="7023099"/>
            <a:ext cx="8128000" cy="4438525"/>
            <a:chOff x="41262300" y="7023099"/>
            <a:chExt cx="8128000" cy="4438525"/>
          </a:xfrm>
        </xdr:grpSpPr>
        <xdr:pic>
          <xdr:nvPicPr>
            <xdr:cNvPr id="24" name="Imagen 23">
              <a:extLst>
                <a:ext uri="{FF2B5EF4-FFF2-40B4-BE49-F238E27FC236}">
                  <a16:creationId xmlns:a16="http://schemas.microsoft.com/office/drawing/2014/main" id="{00000000-0008-0000-0800-000018000000}"/>
                </a:ext>
              </a:extLst>
            </xdr:cNvPr>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l="4167" r="1389"/>
            <a:stretch/>
          </xdr:blipFill>
          <xdr:spPr>
            <a:xfrm>
              <a:off x="41262300" y="7023099"/>
              <a:ext cx="8128000" cy="4438525"/>
            </a:xfrm>
            <a:prstGeom prst="rect">
              <a:avLst/>
            </a:prstGeom>
          </xdr:spPr>
        </xdr:pic>
        <xdr:sp macro="" textlink="">
          <xdr:nvSpPr>
            <xdr:cNvPr id="25" name="Flecha derecha 24">
              <a:extLst>
                <a:ext uri="{FF2B5EF4-FFF2-40B4-BE49-F238E27FC236}">
                  <a16:creationId xmlns:a16="http://schemas.microsoft.com/office/drawing/2014/main" id="{00000000-0008-0000-0800-000019000000}"/>
                </a:ext>
              </a:extLst>
            </xdr:cNvPr>
            <xdr:cNvSpPr/>
          </xdr:nvSpPr>
          <xdr:spPr>
            <a:xfrm>
              <a:off x="48044100" y="7493000"/>
              <a:ext cx="508000" cy="114300"/>
            </a:xfrm>
            <a:prstGeom prst="rightArrow">
              <a:avLst/>
            </a:prstGeom>
            <a:solidFill>
              <a:srgbClr val="00B050"/>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CO" sz="1100"/>
            </a:p>
          </xdr:txBody>
        </xdr:sp>
      </xdr:grpSp>
    </xdr:grpSp>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59999389629810485"/>
  </sheetPr>
  <dimension ref="B3:C10"/>
  <sheetViews>
    <sheetView workbookViewId="0">
      <selection activeCell="E5" sqref="E5"/>
    </sheetView>
  </sheetViews>
  <sheetFormatPr baseColWidth="10" defaultColWidth="10.7109375" defaultRowHeight="15" x14ac:dyDescent="0.25"/>
  <cols>
    <col min="2" max="2" width="29.85546875" style="20" customWidth="1"/>
    <col min="3" max="3" width="38.28515625" style="18" customWidth="1"/>
  </cols>
  <sheetData>
    <row r="3" spans="2:3" x14ac:dyDescent="0.25">
      <c r="B3" s="19" t="s">
        <v>61</v>
      </c>
      <c r="C3" s="10" t="s">
        <v>69</v>
      </c>
    </row>
    <row r="4" spans="2:3" ht="75" x14ac:dyDescent="0.25">
      <c r="B4" s="19" t="s">
        <v>62</v>
      </c>
      <c r="C4" s="10" t="s">
        <v>70</v>
      </c>
    </row>
    <row r="5" spans="2:3" x14ac:dyDescent="0.25">
      <c r="B5" s="19" t="s">
        <v>63</v>
      </c>
      <c r="C5" s="10" t="s">
        <v>71</v>
      </c>
    </row>
    <row r="6" spans="2:3" ht="120" x14ac:dyDescent="0.25">
      <c r="B6" s="19" t="s">
        <v>64</v>
      </c>
      <c r="C6" s="10" t="s">
        <v>72</v>
      </c>
    </row>
    <row r="7" spans="2:3" ht="105" x14ac:dyDescent="0.25">
      <c r="B7" s="19" t="s">
        <v>65</v>
      </c>
      <c r="C7" s="10" t="s">
        <v>75</v>
      </c>
    </row>
    <row r="8" spans="2:3" ht="105" x14ac:dyDescent="0.25">
      <c r="B8" s="19" t="s">
        <v>66</v>
      </c>
      <c r="C8" s="10" t="s">
        <v>73</v>
      </c>
    </row>
    <row r="9" spans="2:3" ht="30" x14ac:dyDescent="0.25">
      <c r="B9" s="19" t="s">
        <v>67</v>
      </c>
      <c r="C9" s="10" t="s">
        <v>74</v>
      </c>
    </row>
    <row r="10" spans="2:3" ht="210" x14ac:dyDescent="0.25">
      <c r="B10" s="19" t="s">
        <v>68</v>
      </c>
      <c r="C10" s="10" t="s">
        <v>76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5" tint="0.59999389629810485"/>
  </sheetPr>
  <dimension ref="B1:S252"/>
  <sheetViews>
    <sheetView topLeftCell="A109" zoomScale="80" zoomScaleNormal="80" workbookViewId="0">
      <selection activeCell="J120" sqref="J120"/>
    </sheetView>
  </sheetViews>
  <sheetFormatPr baseColWidth="10" defaultColWidth="10.7109375" defaultRowHeight="15" x14ac:dyDescent="0.25"/>
  <cols>
    <col min="2" max="2" width="21.140625" customWidth="1"/>
    <col min="3" max="3" width="19.140625" customWidth="1"/>
    <col min="4" max="4" width="16.42578125" bestFit="1" customWidth="1"/>
    <col min="14" max="14" width="21.85546875" customWidth="1"/>
    <col min="15" max="15" width="8.5703125" customWidth="1"/>
    <col min="16" max="16" width="13.85546875" customWidth="1"/>
    <col min="17" max="17" width="28.28515625" customWidth="1"/>
    <col min="18" max="18" width="16" customWidth="1"/>
  </cols>
  <sheetData>
    <row r="1" spans="2:18" ht="29.25" customHeight="1" x14ac:dyDescent="0.25">
      <c r="B1" s="281" t="s">
        <v>81</v>
      </c>
      <c r="C1" s="281"/>
    </row>
    <row r="2" spans="2:18" x14ac:dyDescent="0.25">
      <c r="B2" s="5" t="s">
        <v>17</v>
      </c>
      <c r="C2" s="26">
        <v>0.25</v>
      </c>
    </row>
    <row r="3" spans="2:18" x14ac:dyDescent="0.25">
      <c r="B3" s="1" t="s">
        <v>18</v>
      </c>
      <c r="C3" s="26">
        <v>0.36</v>
      </c>
      <c r="L3" s="6"/>
    </row>
    <row r="4" spans="2:18" x14ac:dyDescent="0.25">
      <c r="B4" s="1" t="s">
        <v>19</v>
      </c>
      <c r="C4" s="26">
        <v>0.18</v>
      </c>
      <c r="L4" s="6"/>
      <c r="Q4" s="283" t="s">
        <v>88</v>
      </c>
      <c r="R4" s="283"/>
    </row>
    <row r="5" spans="2:18" x14ac:dyDescent="0.25">
      <c r="B5" s="1" t="s">
        <v>20</v>
      </c>
      <c r="C5" s="27">
        <v>14</v>
      </c>
      <c r="Q5" s="7" t="s">
        <v>23</v>
      </c>
      <c r="R5" s="8">
        <f>L14*M14</f>
        <v>108</v>
      </c>
    </row>
    <row r="6" spans="2:18" x14ac:dyDescent="0.25">
      <c r="B6" s="1" t="s">
        <v>21</v>
      </c>
      <c r="C6" s="28">
        <v>23000</v>
      </c>
      <c r="I6" s="282" t="s">
        <v>22</v>
      </c>
      <c r="J6" s="282"/>
      <c r="K6" s="282"/>
      <c r="L6" s="282"/>
      <c r="M6" s="282"/>
      <c r="N6" s="282"/>
      <c r="Q6" s="1" t="s">
        <v>29</v>
      </c>
      <c r="R6" s="34">
        <f>M14</f>
        <v>9</v>
      </c>
    </row>
    <row r="7" spans="2:18" x14ac:dyDescent="0.25">
      <c r="I7" s="3">
        <f>C15</f>
        <v>1.2</v>
      </c>
      <c r="J7" s="3"/>
      <c r="K7" s="3">
        <f>C16</f>
        <v>1</v>
      </c>
      <c r="L7" s="3"/>
      <c r="M7" s="3">
        <f>C17</f>
        <v>0.17</v>
      </c>
      <c r="N7" s="3"/>
      <c r="Q7" s="1" t="s">
        <v>93</v>
      </c>
      <c r="R7" s="35">
        <f>N14</f>
        <v>1.7899999999999998</v>
      </c>
    </row>
    <row r="8" spans="2:18" x14ac:dyDescent="0.25">
      <c r="I8" s="3">
        <f>C2</f>
        <v>0.25</v>
      </c>
      <c r="J8" s="3">
        <f>I7/I8</f>
        <v>4.8</v>
      </c>
      <c r="K8" s="9">
        <f>C3</f>
        <v>0.36</v>
      </c>
      <c r="L8" s="3">
        <f>K7/K8</f>
        <v>2.7777777777777777</v>
      </c>
      <c r="M8" s="9">
        <f>C4</f>
        <v>0.18</v>
      </c>
      <c r="N8" s="3">
        <f>M7/M8</f>
        <v>0.94444444444444453</v>
      </c>
      <c r="Q8" s="1" t="s">
        <v>24</v>
      </c>
      <c r="R8" s="1">
        <f>C6/R5</f>
        <v>212.96296296296296</v>
      </c>
    </row>
    <row r="9" spans="2:18" x14ac:dyDescent="0.25">
      <c r="I9" s="3">
        <f>C3</f>
        <v>0.36</v>
      </c>
      <c r="J9" s="3">
        <f>I7/I9</f>
        <v>3.3333333333333335</v>
      </c>
      <c r="K9" s="9">
        <f>C2</f>
        <v>0.25</v>
      </c>
      <c r="L9" s="3">
        <f>K7/K9</f>
        <v>4</v>
      </c>
      <c r="M9" s="9">
        <f>C4</f>
        <v>0.18</v>
      </c>
      <c r="N9" s="3">
        <f>M7/M9</f>
        <v>0.94444444444444453</v>
      </c>
      <c r="Q9" s="1" t="s">
        <v>25</v>
      </c>
      <c r="R9" s="27">
        <f>C5*R5+C18</f>
        <v>1537</v>
      </c>
    </row>
    <row r="10" spans="2:18" x14ac:dyDescent="0.25">
      <c r="Q10" s="1" t="s">
        <v>26</v>
      </c>
      <c r="R10" s="30">
        <f>N14*C15*C16</f>
        <v>2.1479999999999997</v>
      </c>
    </row>
    <row r="12" spans="2:18" x14ac:dyDescent="0.25">
      <c r="I12" s="284" t="s">
        <v>27</v>
      </c>
      <c r="J12" s="285"/>
      <c r="K12" s="286"/>
      <c r="L12" s="3" t="s">
        <v>28</v>
      </c>
      <c r="M12" s="3" t="s">
        <v>29</v>
      </c>
      <c r="N12" s="10" t="s">
        <v>30</v>
      </c>
    </row>
    <row r="13" spans="2:18" x14ac:dyDescent="0.25">
      <c r="I13" s="3">
        <f>TRUNC(J8,0)</f>
        <v>4</v>
      </c>
      <c r="J13" s="3">
        <f>TRUNC(L8,0)</f>
        <v>2</v>
      </c>
      <c r="K13" s="3">
        <f>TRUNC(N8,1)</f>
        <v>0.9</v>
      </c>
      <c r="L13" s="3">
        <f>I13*J13</f>
        <v>8</v>
      </c>
      <c r="M13" s="11">
        <v>9</v>
      </c>
      <c r="N13" s="2">
        <f>M13*M8+C17</f>
        <v>1.7899999999999998</v>
      </c>
    </row>
    <row r="14" spans="2:18" ht="15" customHeight="1" x14ac:dyDescent="0.25">
      <c r="B14" s="276" t="s">
        <v>82</v>
      </c>
      <c r="C14" s="276"/>
      <c r="I14" s="3">
        <f>TRUNC(J9,0)</f>
        <v>3</v>
      </c>
      <c r="J14" s="3">
        <f>TRUNC(L9,0)</f>
        <v>4</v>
      </c>
      <c r="K14" s="3">
        <f>TRUNC(N9,1)</f>
        <v>0.9</v>
      </c>
      <c r="L14" s="3">
        <f>I14*J14</f>
        <v>12</v>
      </c>
      <c r="M14" s="3">
        <v>9</v>
      </c>
      <c r="N14" s="3">
        <f>M14*M9+C17</f>
        <v>1.7899999999999998</v>
      </c>
    </row>
    <row r="15" spans="2:18" x14ac:dyDescent="0.25">
      <c r="B15" s="1" t="s">
        <v>31</v>
      </c>
      <c r="C15" s="26">
        <v>1.2</v>
      </c>
      <c r="Q15" s="24"/>
    </row>
    <row r="16" spans="2:18" x14ac:dyDescent="0.25">
      <c r="B16" s="1" t="s">
        <v>18</v>
      </c>
      <c r="C16" s="26">
        <v>1</v>
      </c>
      <c r="Q16" s="32">
        <f>R9</f>
        <v>1537</v>
      </c>
    </row>
    <row r="17" spans="2:18" x14ac:dyDescent="0.25">
      <c r="B17" s="1" t="s">
        <v>19</v>
      </c>
      <c r="C17" s="26">
        <v>0.17</v>
      </c>
      <c r="P17" s="36">
        <f>R6</f>
        <v>9</v>
      </c>
      <c r="Q17" s="24"/>
      <c r="R17" s="37">
        <f>R7</f>
        <v>1.7899999999999998</v>
      </c>
    </row>
    <row r="18" spans="2:18" x14ac:dyDescent="0.25">
      <c r="B18" s="1" t="s">
        <v>32</v>
      </c>
      <c r="C18" s="27">
        <v>25</v>
      </c>
      <c r="Q18" s="33">
        <f>R10</f>
        <v>2.1479999999999997</v>
      </c>
    </row>
    <row r="19" spans="2:18" x14ac:dyDescent="0.25">
      <c r="B19" s="29"/>
      <c r="C19" s="29"/>
      <c r="Q19" s="24"/>
    </row>
    <row r="20" spans="2:18" x14ac:dyDescent="0.25">
      <c r="Q20" s="24"/>
    </row>
    <row r="21" spans="2:18" x14ac:dyDescent="0.25">
      <c r="Q21" s="25">
        <f>R5</f>
        <v>108</v>
      </c>
    </row>
    <row r="32" spans="2:18" x14ac:dyDescent="0.25">
      <c r="Q32" s="282" t="s">
        <v>89</v>
      </c>
      <c r="R32" s="282"/>
    </row>
    <row r="33" spans="2:18" x14ac:dyDescent="0.25">
      <c r="Q33" s="1" t="s">
        <v>34</v>
      </c>
      <c r="R33" s="1">
        <f>L45*M45</f>
        <v>81</v>
      </c>
    </row>
    <row r="34" spans="2:18" ht="14.25" customHeight="1" x14ac:dyDescent="0.25">
      <c r="B34" s="276" t="s">
        <v>83</v>
      </c>
      <c r="C34" s="276"/>
      <c r="I34" s="282" t="s">
        <v>33</v>
      </c>
      <c r="J34" s="282"/>
      <c r="K34" s="282"/>
      <c r="L34" s="282"/>
      <c r="M34" s="282"/>
      <c r="N34" s="282"/>
      <c r="Q34" s="1" t="s">
        <v>29</v>
      </c>
      <c r="R34" s="34">
        <f>M45</f>
        <v>9</v>
      </c>
    </row>
    <row r="35" spans="2:18" x14ac:dyDescent="0.25">
      <c r="B35" s="1" t="s">
        <v>17</v>
      </c>
      <c r="C35" s="26">
        <v>1.2</v>
      </c>
      <c r="I35" s="1">
        <f>C35</f>
        <v>1.2</v>
      </c>
      <c r="J35" s="1"/>
      <c r="K35" s="1">
        <f>C36</f>
        <v>0.8</v>
      </c>
      <c r="L35" s="1"/>
      <c r="M35" s="1">
        <f>C37</f>
        <v>0.17</v>
      </c>
      <c r="N35" s="1"/>
      <c r="Q35" s="1" t="s">
        <v>93</v>
      </c>
      <c r="R35" s="26">
        <f>N45</f>
        <v>1.7899999999999998</v>
      </c>
    </row>
    <row r="36" spans="2:18" x14ac:dyDescent="0.25">
      <c r="B36" s="1" t="s">
        <v>18</v>
      </c>
      <c r="C36" s="26">
        <v>0.8</v>
      </c>
      <c r="I36" s="1">
        <f>C2</f>
        <v>0.25</v>
      </c>
      <c r="J36" s="1">
        <f>I35/I36</f>
        <v>4.8</v>
      </c>
      <c r="K36" s="1">
        <f>C3</f>
        <v>0.36</v>
      </c>
      <c r="L36" s="1">
        <f>K35/K36</f>
        <v>2.2222222222222223</v>
      </c>
      <c r="M36" s="1">
        <f>C4</f>
        <v>0.18</v>
      </c>
      <c r="N36" s="1">
        <f>M35/M36</f>
        <v>0.94444444444444453</v>
      </c>
      <c r="Q36" s="1" t="s">
        <v>35</v>
      </c>
      <c r="R36" s="1">
        <f>C6/R33</f>
        <v>283.95061728395063</v>
      </c>
    </row>
    <row r="37" spans="2:18" x14ac:dyDescent="0.25">
      <c r="B37" s="1" t="s">
        <v>19</v>
      </c>
      <c r="C37" s="26">
        <v>0.17</v>
      </c>
      <c r="I37" s="1">
        <f>C3</f>
        <v>0.36</v>
      </c>
      <c r="J37" s="1">
        <f>I35/I37</f>
        <v>3.3333333333333335</v>
      </c>
      <c r="K37" s="1">
        <f>C2</f>
        <v>0.25</v>
      </c>
      <c r="L37" s="1">
        <f>K35/K37</f>
        <v>3.2</v>
      </c>
      <c r="M37" s="1">
        <f>C4</f>
        <v>0.18</v>
      </c>
      <c r="N37" s="1">
        <f>M35/M37</f>
        <v>0.94444444444444453</v>
      </c>
      <c r="Q37" s="1" t="s">
        <v>25</v>
      </c>
      <c r="R37" s="27">
        <f>R33*C5+C38</f>
        <v>1156</v>
      </c>
    </row>
    <row r="38" spans="2:18" x14ac:dyDescent="0.25">
      <c r="B38" s="1" t="s">
        <v>32</v>
      </c>
      <c r="C38" s="27">
        <v>22</v>
      </c>
      <c r="Q38" s="1" t="s">
        <v>26</v>
      </c>
      <c r="R38" s="30">
        <f>N45*C35*C36</f>
        <v>1.7183999999999999</v>
      </c>
    </row>
    <row r="43" spans="2:18" x14ac:dyDescent="0.25">
      <c r="I43" s="283" t="s">
        <v>27</v>
      </c>
      <c r="J43" s="283"/>
      <c r="K43" s="283"/>
      <c r="L43" s="1" t="s">
        <v>36</v>
      </c>
      <c r="M43" s="1" t="s">
        <v>29</v>
      </c>
      <c r="N43" s="1" t="s">
        <v>30</v>
      </c>
    </row>
    <row r="44" spans="2:18" x14ac:dyDescent="0.25">
      <c r="I44" s="1">
        <f>TRUNC(J36,0)</f>
        <v>4</v>
      </c>
      <c r="J44" s="1">
        <f>TRUNC(L36,0)</f>
        <v>2</v>
      </c>
      <c r="K44" s="1">
        <f>TRUNC(N36,1)</f>
        <v>0.9</v>
      </c>
      <c r="L44" s="1">
        <f>I44*J44</f>
        <v>8</v>
      </c>
      <c r="M44" s="1">
        <v>9</v>
      </c>
      <c r="N44" s="1">
        <f>M44*M36+C37</f>
        <v>1.7899999999999998</v>
      </c>
    </row>
    <row r="45" spans="2:18" x14ac:dyDescent="0.25">
      <c r="I45" s="1">
        <f>TRUNC(J37,0)</f>
        <v>3</v>
      </c>
      <c r="J45" s="1">
        <f>TRUNC(L37,0)</f>
        <v>3</v>
      </c>
      <c r="K45" s="1">
        <f>TRUNC(N37,1)</f>
        <v>0.9</v>
      </c>
      <c r="L45" s="1">
        <f>I45*J45</f>
        <v>9</v>
      </c>
      <c r="M45" s="1">
        <v>9</v>
      </c>
      <c r="N45" s="1">
        <f>M45*M37+C37</f>
        <v>1.7899999999999998</v>
      </c>
    </row>
    <row r="46" spans="2:18" x14ac:dyDescent="0.25">
      <c r="Q46" s="24"/>
    </row>
    <row r="47" spans="2:18" x14ac:dyDescent="0.25">
      <c r="Q47" s="32">
        <f>R37</f>
        <v>1156</v>
      </c>
    </row>
    <row r="48" spans="2:18" x14ac:dyDescent="0.25">
      <c r="P48" s="36">
        <f>R34</f>
        <v>9</v>
      </c>
      <c r="Q48" s="24"/>
      <c r="R48" s="37">
        <f>R35</f>
        <v>1.7899999999999998</v>
      </c>
    </row>
    <row r="49" spans="2:17" x14ac:dyDescent="0.25">
      <c r="Q49" s="33">
        <f>R38</f>
        <v>1.7183999999999999</v>
      </c>
    </row>
    <row r="50" spans="2:17" x14ac:dyDescent="0.25">
      <c r="Q50" s="24"/>
    </row>
    <row r="51" spans="2:17" x14ac:dyDescent="0.25">
      <c r="Q51" s="24"/>
    </row>
    <row r="52" spans="2:17" x14ac:dyDescent="0.25">
      <c r="Q52" s="25">
        <f>R36</f>
        <v>283.95061728395063</v>
      </c>
    </row>
    <row r="54" spans="2:17" x14ac:dyDescent="0.25">
      <c r="B54" s="259" t="s">
        <v>81</v>
      </c>
      <c r="C54" s="260"/>
    </row>
    <row r="55" spans="2:17" x14ac:dyDescent="0.25">
      <c r="B55" s="5" t="s">
        <v>17</v>
      </c>
      <c r="C55" s="26">
        <v>0.25</v>
      </c>
    </row>
    <row r="56" spans="2:17" x14ac:dyDescent="0.25">
      <c r="B56" s="1" t="s">
        <v>18</v>
      </c>
      <c r="C56" s="26">
        <v>0.36</v>
      </c>
    </row>
    <row r="57" spans="2:17" x14ac:dyDescent="0.25">
      <c r="B57" s="1" t="s">
        <v>19</v>
      </c>
      <c r="C57" s="26">
        <v>0.18</v>
      </c>
    </row>
    <row r="58" spans="2:17" x14ac:dyDescent="0.25">
      <c r="B58" s="1" t="s">
        <v>20</v>
      </c>
      <c r="C58" s="27">
        <v>14</v>
      </c>
    </row>
    <row r="59" spans="2:17" x14ac:dyDescent="0.25">
      <c r="B59" s="1" t="s">
        <v>21</v>
      </c>
      <c r="C59" s="28">
        <v>23000</v>
      </c>
    </row>
    <row r="64" spans="2:17" ht="15" customHeight="1" x14ac:dyDescent="0.25"/>
    <row r="67" spans="2:18" x14ac:dyDescent="0.25">
      <c r="B67" s="261" t="s">
        <v>84</v>
      </c>
      <c r="C67" s="262"/>
      <c r="I67" s="280" t="s">
        <v>37</v>
      </c>
      <c r="J67" s="280"/>
      <c r="K67" s="280"/>
      <c r="L67" s="280"/>
      <c r="M67" s="280"/>
      <c r="N67" s="280"/>
      <c r="Q67" s="274" t="s">
        <v>90</v>
      </c>
      <c r="R67" s="275"/>
    </row>
    <row r="68" spans="2:18" x14ac:dyDescent="0.25">
      <c r="B68" s="1" t="s">
        <v>17</v>
      </c>
      <c r="C68" s="26">
        <v>2.29</v>
      </c>
      <c r="I68" s="1">
        <f>C68</f>
        <v>2.29</v>
      </c>
      <c r="J68" s="1"/>
      <c r="K68" s="1">
        <f>C69</f>
        <v>5.5</v>
      </c>
      <c r="L68" s="1"/>
      <c r="M68" s="1">
        <f>C70</f>
        <v>2.27</v>
      </c>
      <c r="N68" s="1"/>
      <c r="Q68" s="1" t="s">
        <v>23</v>
      </c>
      <c r="R68" s="28">
        <f>C83*L75</f>
        <v>972</v>
      </c>
    </row>
    <row r="69" spans="2:18" x14ac:dyDescent="0.25">
      <c r="B69" s="1" t="s">
        <v>18</v>
      </c>
      <c r="C69" s="26">
        <v>5.5</v>
      </c>
      <c r="I69" s="1">
        <f>C77</f>
        <v>1.2</v>
      </c>
      <c r="J69" s="1">
        <f>I69*1</f>
        <v>1.2</v>
      </c>
      <c r="K69" s="1">
        <f>C78</f>
        <v>1</v>
      </c>
      <c r="L69" s="7">
        <f>TRUNC(K68/K69,0)</f>
        <v>5</v>
      </c>
      <c r="M69" s="1">
        <f>C81</f>
        <v>1.7899999999999998</v>
      </c>
      <c r="N69" s="1">
        <f>M68/M69</f>
        <v>1.2681564245810057</v>
      </c>
      <c r="Q69" s="1" t="s">
        <v>43</v>
      </c>
      <c r="R69" s="28">
        <f>C59/R68</f>
        <v>23.662551440329217</v>
      </c>
    </row>
    <row r="70" spans="2:18" x14ac:dyDescent="0.25">
      <c r="B70" s="1" t="s">
        <v>19</v>
      </c>
      <c r="C70" s="26">
        <v>2.27</v>
      </c>
      <c r="I70" s="1">
        <f>C78</f>
        <v>1</v>
      </c>
      <c r="J70" s="1">
        <f>I70*1</f>
        <v>1</v>
      </c>
      <c r="K70" s="1">
        <f>C77</f>
        <v>1.2</v>
      </c>
      <c r="L70" s="7">
        <v>0</v>
      </c>
      <c r="Q70" s="1" t="s">
        <v>38</v>
      </c>
      <c r="R70" s="28">
        <f>L75*R69</f>
        <v>212.96296296296296</v>
      </c>
    </row>
    <row r="71" spans="2:18" x14ac:dyDescent="0.25">
      <c r="B71" s="1" t="s">
        <v>41</v>
      </c>
      <c r="C71" s="27">
        <v>27500</v>
      </c>
      <c r="J71" s="1">
        <f>J69+J70</f>
        <v>2.2000000000000002</v>
      </c>
      <c r="L71" s="38">
        <f>L69+L70</f>
        <v>5</v>
      </c>
      <c r="Q71" s="1" t="s">
        <v>25</v>
      </c>
      <c r="R71" s="27">
        <f>C82*L75</f>
        <v>13833</v>
      </c>
    </row>
    <row r="72" spans="2:18" x14ac:dyDescent="0.25">
      <c r="B72" s="1" t="s">
        <v>42</v>
      </c>
      <c r="C72" s="30">
        <v>28.8</v>
      </c>
      <c r="Q72" s="1" t="s">
        <v>26</v>
      </c>
      <c r="R72" s="30">
        <f>J71*L71*M69</f>
        <v>19.689999999999998</v>
      </c>
    </row>
    <row r="73" spans="2:18" ht="15" customHeight="1" x14ac:dyDescent="0.25">
      <c r="Q73" s="1" t="s">
        <v>40</v>
      </c>
      <c r="R73" s="12">
        <f>R72*100/C72</f>
        <v>68.368055555555543</v>
      </c>
    </row>
    <row r="74" spans="2:18" x14ac:dyDescent="0.25">
      <c r="I74" s="256" t="s">
        <v>27</v>
      </c>
      <c r="J74" s="257"/>
      <c r="K74" s="258"/>
      <c r="L74" s="1" t="s">
        <v>45</v>
      </c>
      <c r="M74" s="1" t="s">
        <v>29</v>
      </c>
      <c r="N74" s="1" t="s">
        <v>39</v>
      </c>
    </row>
    <row r="75" spans="2:18" x14ac:dyDescent="0.25">
      <c r="I75" s="1">
        <f>TRUNC(J69,0)</f>
        <v>1</v>
      </c>
      <c r="J75" s="1">
        <f>TRUNC(L69,0)</f>
        <v>5</v>
      </c>
      <c r="K75" s="1">
        <f>TRUNC(N69,0)</f>
        <v>1</v>
      </c>
      <c r="L75" s="1">
        <f>J77</f>
        <v>9</v>
      </c>
      <c r="M75" s="1">
        <f>K75</f>
        <v>1</v>
      </c>
      <c r="N75" s="1">
        <f>M75*M69</f>
        <v>1.7899999999999998</v>
      </c>
    </row>
    <row r="76" spans="2:18" x14ac:dyDescent="0.25">
      <c r="B76" s="250" t="s">
        <v>85</v>
      </c>
      <c r="C76" s="251"/>
      <c r="I76" s="4">
        <f>TRUNC(J70,0)</f>
        <v>1</v>
      </c>
      <c r="J76" s="39">
        <f>TRUNC(K68/K70,0)</f>
        <v>4</v>
      </c>
    </row>
    <row r="77" spans="2:18" x14ac:dyDescent="0.25">
      <c r="B77" s="1" t="s">
        <v>31</v>
      </c>
      <c r="C77" s="26">
        <v>1.2</v>
      </c>
      <c r="I77" s="1">
        <f>I75+I76</f>
        <v>2</v>
      </c>
      <c r="J77" s="1">
        <f>J75+J76</f>
        <v>9</v>
      </c>
    </row>
    <row r="78" spans="2:18" x14ac:dyDescent="0.25">
      <c r="B78" s="1" t="s">
        <v>18</v>
      </c>
      <c r="C78" s="26">
        <v>1</v>
      </c>
    </row>
    <row r="79" spans="2:18" x14ac:dyDescent="0.25">
      <c r="B79" s="1" t="s">
        <v>19</v>
      </c>
      <c r="C79" s="26">
        <v>0.17</v>
      </c>
    </row>
    <row r="80" spans="2:18" x14ac:dyDescent="0.25">
      <c r="B80" s="1" t="s">
        <v>32</v>
      </c>
      <c r="C80" s="27">
        <v>25</v>
      </c>
    </row>
    <row r="81" spans="2:18" x14ac:dyDescent="0.25">
      <c r="B81" s="1" t="s">
        <v>44</v>
      </c>
      <c r="C81" s="26">
        <f>N14</f>
        <v>1.7899999999999998</v>
      </c>
    </row>
    <row r="82" spans="2:18" ht="14.25" customHeight="1" x14ac:dyDescent="0.25">
      <c r="B82" s="1" t="s">
        <v>46</v>
      </c>
      <c r="C82" s="27">
        <f>R9</f>
        <v>1537</v>
      </c>
    </row>
    <row r="83" spans="2:18" x14ac:dyDescent="0.25">
      <c r="B83" s="1" t="s">
        <v>47</v>
      </c>
      <c r="C83" s="28">
        <f>R5</f>
        <v>108</v>
      </c>
    </row>
    <row r="84" spans="2:18" x14ac:dyDescent="0.25">
      <c r="B84" s="1" t="s">
        <v>48</v>
      </c>
      <c r="C84" s="31">
        <f>R8</f>
        <v>212.96296296296296</v>
      </c>
    </row>
    <row r="93" spans="2:18" x14ac:dyDescent="0.25">
      <c r="I93" s="277" t="s">
        <v>49</v>
      </c>
      <c r="J93" s="278"/>
      <c r="K93" s="278"/>
      <c r="L93" s="278"/>
      <c r="M93" s="278"/>
      <c r="N93" s="279"/>
      <c r="Q93" s="272" t="s">
        <v>90</v>
      </c>
      <c r="R93" s="272"/>
    </row>
    <row r="94" spans="2:18" x14ac:dyDescent="0.25">
      <c r="I94" s="1">
        <f>C68</f>
        <v>2.29</v>
      </c>
      <c r="J94" s="1"/>
      <c r="K94" s="1">
        <f>C69</f>
        <v>5.5</v>
      </c>
      <c r="L94" s="1"/>
      <c r="M94" s="1">
        <f>C70</f>
        <v>2.27</v>
      </c>
      <c r="N94" s="1"/>
      <c r="Q94" s="1" t="s">
        <v>34</v>
      </c>
      <c r="R94" s="1">
        <f>C111*L101</f>
        <v>810</v>
      </c>
    </row>
    <row r="95" spans="2:18" x14ac:dyDescent="0.25">
      <c r="I95" s="1">
        <f>C105</f>
        <v>1.2</v>
      </c>
      <c r="J95" s="1">
        <f>I95*1</f>
        <v>1.2</v>
      </c>
      <c r="K95" s="1">
        <f>C106</f>
        <v>0.8</v>
      </c>
      <c r="L95" s="1">
        <f>K95*5</f>
        <v>4</v>
      </c>
      <c r="M95" s="1">
        <f>C109</f>
        <v>1.7899999999999998</v>
      </c>
      <c r="N95" s="1">
        <f>M94/M95</f>
        <v>1.2681564245810057</v>
      </c>
      <c r="Q95" s="1" t="s">
        <v>43</v>
      </c>
      <c r="R95" s="1">
        <f>C59/R94</f>
        <v>28.395061728395063</v>
      </c>
    </row>
    <row r="96" spans="2:18" x14ac:dyDescent="0.25">
      <c r="I96" s="1">
        <f>C106</f>
        <v>0.8</v>
      </c>
      <c r="J96" s="1">
        <f>I96*1</f>
        <v>0.8</v>
      </c>
      <c r="K96" s="1">
        <f>C105</f>
        <v>1.2</v>
      </c>
      <c r="L96" s="1">
        <f>K96*1</f>
        <v>1.2</v>
      </c>
      <c r="Q96" s="1" t="s">
        <v>38</v>
      </c>
      <c r="R96" s="1">
        <f>L101*R95</f>
        <v>283.95061728395063</v>
      </c>
    </row>
    <row r="97" spans="2:18" x14ac:dyDescent="0.25">
      <c r="J97" s="1">
        <f>J95+J96</f>
        <v>2</v>
      </c>
      <c r="L97" s="1">
        <f>L95+L96</f>
        <v>5.2</v>
      </c>
      <c r="Q97" s="1" t="s">
        <v>25</v>
      </c>
      <c r="R97" s="27">
        <f>C110*L101</f>
        <v>11560</v>
      </c>
    </row>
    <row r="98" spans="2:18" x14ac:dyDescent="0.25">
      <c r="Q98" s="1" t="s">
        <v>26</v>
      </c>
      <c r="R98" s="30">
        <f>J97*L97*M95</f>
        <v>18.616</v>
      </c>
    </row>
    <row r="99" spans="2:18" x14ac:dyDescent="0.25">
      <c r="Q99" s="1" t="s">
        <v>40</v>
      </c>
      <c r="R99" s="12">
        <f>R98*100/C72</f>
        <v>64.638888888888886</v>
      </c>
    </row>
    <row r="100" spans="2:18" x14ac:dyDescent="0.25">
      <c r="I100" s="256" t="s">
        <v>27</v>
      </c>
      <c r="J100" s="257"/>
      <c r="K100" s="258"/>
      <c r="L100" s="1" t="s">
        <v>52</v>
      </c>
      <c r="M100" s="1" t="s">
        <v>29</v>
      </c>
      <c r="N100" s="1" t="s">
        <v>39</v>
      </c>
    </row>
    <row r="101" spans="2:18" x14ac:dyDescent="0.25">
      <c r="I101" s="1">
        <f>TRUNC(J95,0)</f>
        <v>1</v>
      </c>
      <c r="J101" s="1">
        <f>TRUNC(L95,0)</f>
        <v>4</v>
      </c>
      <c r="K101" s="1">
        <f>TRUNC(N95,0)</f>
        <v>1</v>
      </c>
      <c r="L101" s="1">
        <f>I103*J103</f>
        <v>10</v>
      </c>
      <c r="M101" s="1">
        <f>K101</f>
        <v>1</v>
      </c>
      <c r="N101" s="1">
        <f>M101*M95</f>
        <v>1.7899999999999998</v>
      </c>
    </row>
    <row r="102" spans="2:18" x14ac:dyDescent="0.25">
      <c r="I102" s="1">
        <f>TRUNC(J96,1)</f>
        <v>0.8</v>
      </c>
      <c r="J102" s="1">
        <f>TRUNC(L96,0)</f>
        <v>1</v>
      </c>
    </row>
    <row r="103" spans="2:18" x14ac:dyDescent="0.25">
      <c r="I103" s="1">
        <f>I101+I102+0.2</f>
        <v>2</v>
      </c>
      <c r="J103" s="1">
        <f>J101+J102</f>
        <v>5</v>
      </c>
    </row>
    <row r="104" spans="2:18" x14ac:dyDescent="0.25">
      <c r="B104" s="276" t="s">
        <v>83</v>
      </c>
      <c r="C104" s="276"/>
    </row>
    <row r="105" spans="2:18" ht="15" customHeight="1" x14ac:dyDescent="0.25">
      <c r="B105" s="1" t="s">
        <v>17</v>
      </c>
      <c r="C105" s="26">
        <v>1.2</v>
      </c>
    </row>
    <row r="106" spans="2:18" x14ac:dyDescent="0.25">
      <c r="B106" s="1" t="s">
        <v>18</v>
      </c>
      <c r="C106" s="26">
        <v>0.8</v>
      </c>
    </row>
    <row r="107" spans="2:18" x14ac:dyDescent="0.25">
      <c r="B107" s="1" t="s">
        <v>19</v>
      </c>
      <c r="C107" s="26">
        <v>0.17</v>
      </c>
    </row>
    <row r="108" spans="2:18" x14ac:dyDescent="0.25">
      <c r="B108" s="1" t="s">
        <v>32</v>
      </c>
      <c r="C108" s="27">
        <v>22</v>
      </c>
    </row>
    <row r="109" spans="2:18" x14ac:dyDescent="0.25">
      <c r="B109" s="1" t="s">
        <v>50</v>
      </c>
      <c r="C109" s="26">
        <f>N45</f>
        <v>1.7899999999999998</v>
      </c>
    </row>
    <row r="110" spans="2:18" x14ac:dyDescent="0.25">
      <c r="B110" s="1" t="s">
        <v>46</v>
      </c>
      <c r="C110" s="27">
        <f>R37</f>
        <v>1156</v>
      </c>
    </row>
    <row r="111" spans="2:18" x14ac:dyDescent="0.25">
      <c r="B111" s="1" t="s">
        <v>47</v>
      </c>
      <c r="C111" s="28">
        <f>R33</f>
        <v>81</v>
      </c>
    </row>
    <row r="112" spans="2:18" x14ac:dyDescent="0.25">
      <c r="B112" s="1" t="s">
        <v>51</v>
      </c>
      <c r="C112" s="31">
        <f>R36</f>
        <v>283.95061728395063</v>
      </c>
      <c r="E112" t="s">
        <v>60</v>
      </c>
    </row>
    <row r="117" spans="9:18" x14ac:dyDescent="0.25">
      <c r="I117" s="269" t="s">
        <v>53</v>
      </c>
      <c r="J117" s="273"/>
      <c r="K117" s="273"/>
      <c r="L117" s="273"/>
      <c r="M117" s="273"/>
      <c r="N117" s="270"/>
      <c r="Q117" s="269" t="s">
        <v>91</v>
      </c>
      <c r="R117" s="270"/>
    </row>
    <row r="118" spans="9:18" x14ac:dyDescent="0.25">
      <c r="I118" s="1">
        <f>C153</f>
        <v>2.29</v>
      </c>
      <c r="J118" s="1"/>
      <c r="K118" s="1">
        <f>C154</f>
        <v>11.59</v>
      </c>
      <c r="L118" s="1"/>
      <c r="M118" s="1">
        <f>C155</f>
        <v>2.54</v>
      </c>
      <c r="N118" s="1"/>
      <c r="Q118" s="1" t="s">
        <v>34</v>
      </c>
      <c r="R118" s="1">
        <f>L125*C83</f>
        <v>2376</v>
      </c>
    </row>
    <row r="119" spans="9:18" x14ac:dyDescent="0.25">
      <c r="I119" s="1">
        <f>C105</f>
        <v>1.2</v>
      </c>
      <c r="J119" s="1">
        <f>I119*1</f>
        <v>1.2</v>
      </c>
      <c r="K119" s="1">
        <f>C78</f>
        <v>1</v>
      </c>
      <c r="L119" s="1">
        <f>K119*9</f>
        <v>9</v>
      </c>
      <c r="M119" s="26">
        <f>C81</f>
        <v>1.7899999999999998</v>
      </c>
      <c r="N119" s="1">
        <f>M118/M119</f>
        <v>1.4189944134078214</v>
      </c>
      <c r="Q119" s="1" t="s">
        <v>43</v>
      </c>
      <c r="R119" s="1">
        <f>C59/R118</f>
        <v>9.6801346801346799</v>
      </c>
    </row>
    <row r="120" spans="9:18" x14ac:dyDescent="0.25">
      <c r="I120" s="1">
        <f>C78</f>
        <v>1</v>
      </c>
      <c r="J120" s="1">
        <f>I120*1</f>
        <v>1</v>
      </c>
      <c r="K120" s="1">
        <f>C105</f>
        <v>1.2</v>
      </c>
      <c r="L120" s="1">
        <f>K120*2</f>
        <v>2.4</v>
      </c>
      <c r="Q120" s="1" t="s">
        <v>38</v>
      </c>
      <c r="R120" s="1">
        <f>R119*L125</f>
        <v>212.96296296296296</v>
      </c>
    </row>
    <row r="121" spans="9:18" x14ac:dyDescent="0.25">
      <c r="J121" s="1">
        <f>J119+J120</f>
        <v>2.2000000000000002</v>
      </c>
      <c r="L121" s="1">
        <f>L119+L120</f>
        <v>11.4</v>
      </c>
      <c r="Q121" s="1" t="s">
        <v>25</v>
      </c>
      <c r="R121" s="27">
        <f>L125*C82</f>
        <v>33814</v>
      </c>
    </row>
    <row r="122" spans="9:18" x14ac:dyDescent="0.25">
      <c r="Q122" s="1" t="s">
        <v>26</v>
      </c>
      <c r="R122" s="30">
        <f>J121*L121*M119</f>
        <v>44.8932</v>
      </c>
    </row>
    <row r="123" spans="9:18" x14ac:dyDescent="0.25">
      <c r="Q123" s="1" t="s">
        <v>40</v>
      </c>
      <c r="R123" s="12">
        <f>R122*100/C157</f>
        <v>66.508444444444436</v>
      </c>
    </row>
    <row r="124" spans="9:18" x14ac:dyDescent="0.25">
      <c r="I124" s="256" t="s">
        <v>27</v>
      </c>
      <c r="J124" s="257"/>
      <c r="K124" s="258"/>
      <c r="L124" s="1" t="s">
        <v>52</v>
      </c>
      <c r="M124" s="1" t="s">
        <v>29</v>
      </c>
      <c r="N124" s="1" t="s">
        <v>39</v>
      </c>
    </row>
    <row r="125" spans="9:18" x14ac:dyDescent="0.25">
      <c r="I125" s="1">
        <f>TRUNC(J119,0)</f>
        <v>1</v>
      </c>
      <c r="J125" s="1">
        <f>TRUNC(L119,0)</f>
        <v>9</v>
      </c>
      <c r="K125" s="1">
        <f>TRUNC(N119,0)</f>
        <v>1</v>
      </c>
      <c r="L125" s="1">
        <f>I127*J127</f>
        <v>22</v>
      </c>
      <c r="M125" s="1">
        <f>K125</f>
        <v>1</v>
      </c>
      <c r="N125" s="1">
        <f>M125*M119</f>
        <v>1.7899999999999998</v>
      </c>
    </row>
    <row r="126" spans="9:18" x14ac:dyDescent="0.25">
      <c r="I126" s="1">
        <f>TRUNC(J120,0)</f>
        <v>1</v>
      </c>
      <c r="J126" s="1">
        <v>2</v>
      </c>
    </row>
    <row r="127" spans="9:18" x14ac:dyDescent="0.25">
      <c r="I127" s="1">
        <f>I125+I126</f>
        <v>2</v>
      </c>
      <c r="J127" s="1">
        <f>J125+J126</f>
        <v>11</v>
      </c>
    </row>
    <row r="141" spans="9:18" x14ac:dyDescent="0.25">
      <c r="I141" s="264" t="s">
        <v>54</v>
      </c>
      <c r="J141" s="271"/>
      <c r="K141" s="271"/>
      <c r="L141" s="271"/>
      <c r="M141" s="271"/>
      <c r="N141" s="265"/>
      <c r="Q141" s="264" t="s">
        <v>91</v>
      </c>
      <c r="R141" s="265"/>
    </row>
    <row r="142" spans="9:18" x14ac:dyDescent="0.25">
      <c r="I142" s="1">
        <f>C248</f>
        <v>2.29</v>
      </c>
      <c r="J142" s="1"/>
      <c r="K142" s="1">
        <f>C249</f>
        <v>11.59</v>
      </c>
      <c r="L142" s="1"/>
      <c r="M142" s="1">
        <f>C227</f>
        <v>2.27</v>
      </c>
      <c r="N142" s="1"/>
      <c r="Q142" s="1" t="s">
        <v>34</v>
      </c>
      <c r="R142" s="1">
        <f>C111*L149</f>
        <v>1863</v>
      </c>
    </row>
    <row r="143" spans="9:18" x14ac:dyDescent="0.25">
      <c r="I143" s="1">
        <f>C105</f>
        <v>1.2</v>
      </c>
      <c r="J143" s="1">
        <f>I143*1</f>
        <v>1.2</v>
      </c>
      <c r="K143" s="1">
        <f>C106</f>
        <v>0.8</v>
      </c>
      <c r="L143" s="1">
        <f>K143*14</f>
        <v>11.200000000000001</v>
      </c>
      <c r="M143" s="1">
        <f>C109</f>
        <v>1.7899999999999998</v>
      </c>
      <c r="N143" s="1">
        <f>M142/M143</f>
        <v>1.2681564245810057</v>
      </c>
      <c r="Q143" s="1" t="s">
        <v>43</v>
      </c>
      <c r="R143" s="1">
        <f>C59/R142</f>
        <v>12.345679012345679</v>
      </c>
    </row>
    <row r="144" spans="9:18" x14ac:dyDescent="0.25">
      <c r="I144" s="1">
        <f>C106</f>
        <v>0.8</v>
      </c>
      <c r="J144" s="1">
        <f>I144*1</f>
        <v>0.8</v>
      </c>
      <c r="K144" s="1">
        <f>C105</f>
        <v>1.2</v>
      </c>
      <c r="L144" s="1">
        <f>K144*0</f>
        <v>0</v>
      </c>
      <c r="Q144" s="1" t="s">
        <v>55</v>
      </c>
      <c r="R144" s="1">
        <f>R143*L149</f>
        <v>283.95061728395063</v>
      </c>
    </row>
    <row r="145" spans="2:18" x14ac:dyDescent="0.25">
      <c r="J145" s="1">
        <f>J143+J144</f>
        <v>2</v>
      </c>
      <c r="L145" s="1">
        <f>L143+L144</f>
        <v>11.200000000000001</v>
      </c>
      <c r="Q145" s="1" t="s">
        <v>25</v>
      </c>
      <c r="R145" s="27">
        <f>C110*L149</f>
        <v>26588</v>
      </c>
    </row>
    <row r="146" spans="2:18" x14ac:dyDescent="0.25">
      <c r="Q146" s="1" t="s">
        <v>26</v>
      </c>
      <c r="R146" s="30">
        <f>J145*L145*M143</f>
        <v>40.095999999999997</v>
      </c>
    </row>
    <row r="147" spans="2:18" x14ac:dyDescent="0.25">
      <c r="Q147" s="1" t="s">
        <v>40</v>
      </c>
      <c r="R147" s="12">
        <f>R146*100/C157</f>
        <v>59.401481481481476</v>
      </c>
    </row>
    <row r="148" spans="2:18" x14ac:dyDescent="0.25">
      <c r="I148" s="256" t="s">
        <v>27</v>
      </c>
      <c r="J148" s="257"/>
      <c r="K148" s="258"/>
      <c r="L148" s="1" t="s">
        <v>52</v>
      </c>
      <c r="M148" s="1" t="s">
        <v>29</v>
      </c>
      <c r="N148" s="1" t="s">
        <v>39</v>
      </c>
    </row>
    <row r="149" spans="2:18" x14ac:dyDescent="0.25">
      <c r="I149" s="1">
        <f>TRUNC(J143,0)</f>
        <v>1</v>
      </c>
      <c r="J149" s="1">
        <v>14</v>
      </c>
      <c r="K149" s="1">
        <f>TRUNC(N143,0)</f>
        <v>1</v>
      </c>
      <c r="L149" s="1">
        <v>23</v>
      </c>
      <c r="M149" s="1">
        <f>K149</f>
        <v>1</v>
      </c>
      <c r="N149" s="1">
        <f>M149*M143</f>
        <v>1.7899999999999998</v>
      </c>
    </row>
    <row r="150" spans="2:18" x14ac:dyDescent="0.25">
      <c r="I150" s="1">
        <v>1</v>
      </c>
      <c r="J150" s="1">
        <v>0</v>
      </c>
    </row>
    <row r="151" spans="2:18" x14ac:dyDescent="0.25">
      <c r="I151" s="1">
        <f>I149+I150</f>
        <v>2</v>
      </c>
      <c r="J151" s="1">
        <f>J149+J150</f>
        <v>14</v>
      </c>
    </row>
    <row r="152" spans="2:18" x14ac:dyDescent="0.25">
      <c r="B152" s="250" t="s">
        <v>86</v>
      </c>
      <c r="C152" s="251"/>
    </row>
    <row r="153" spans="2:18" ht="15" customHeight="1" x14ac:dyDescent="0.25">
      <c r="B153" s="1" t="s">
        <v>17</v>
      </c>
      <c r="C153" s="26">
        <v>2.29</v>
      </c>
    </row>
    <row r="154" spans="2:18" x14ac:dyDescent="0.25">
      <c r="B154" s="1" t="s">
        <v>18</v>
      </c>
      <c r="C154" s="26">
        <v>11.59</v>
      </c>
    </row>
    <row r="155" spans="2:18" x14ac:dyDescent="0.25">
      <c r="B155" s="1" t="s">
        <v>19</v>
      </c>
      <c r="C155" s="26">
        <v>2.54</v>
      </c>
    </row>
    <row r="156" spans="2:18" x14ac:dyDescent="0.25">
      <c r="B156" s="1" t="s">
        <v>41</v>
      </c>
      <c r="C156" s="27">
        <v>29240</v>
      </c>
    </row>
    <row r="157" spans="2:18" x14ac:dyDescent="0.25">
      <c r="B157" s="1" t="s">
        <v>42</v>
      </c>
      <c r="C157" s="30">
        <v>67.5</v>
      </c>
    </row>
    <row r="163" spans="9:18" x14ac:dyDescent="0.25">
      <c r="I163" s="266" t="s">
        <v>56</v>
      </c>
      <c r="J163" s="267"/>
      <c r="K163" s="267"/>
      <c r="L163" s="267"/>
      <c r="M163" s="267"/>
      <c r="N163" s="268"/>
      <c r="Q163" s="266" t="s">
        <v>90</v>
      </c>
      <c r="R163" s="268"/>
    </row>
    <row r="164" spans="9:18" x14ac:dyDescent="0.25">
      <c r="I164" s="1">
        <f>C225</f>
        <v>2.29</v>
      </c>
      <c r="J164" s="1"/>
      <c r="K164" s="1">
        <f>C226</f>
        <v>5.5</v>
      </c>
      <c r="L164" s="1"/>
      <c r="M164" s="1">
        <f>C227</f>
        <v>2.27</v>
      </c>
      <c r="N164" s="1"/>
      <c r="Q164" s="1" t="s">
        <v>34</v>
      </c>
      <c r="R164" s="1">
        <f>L171*M172</f>
        <v>1620</v>
      </c>
    </row>
    <row r="165" spans="9:18" x14ac:dyDescent="0.25">
      <c r="I165" s="1">
        <f>C216</f>
        <v>0.25</v>
      </c>
      <c r="J165" s="1">
        <f>I164/I165</f>
        <v>9.16</v>
      </c>
      <c r="K165" s="8">
        <f>C217</f>
        <v>0.36</v>
      </c>
      <c r="L165" s="1">
        <f>K164/K165</f>
        <v>15.277777777777779</v>
      </c>
      <c r="M165" s="1">
        <f>C218</f>
        <v>0.18</v>
      </c>
      <c r="N165" s="1">
        <f>M164/M165</f>
        <v>12.611111111111112</v>
      </c>
      <c r="Q165" s="1" t="s">
        <v>43</v>
      </c>
      <c r="R165" s="1">
        <f>C220/R164</f>
        <v>14.197530864197532</v>
      </c>
    </row>
    <row r="166" spans="9:18" x14ac:dyDescent="0.25">
      <c r="I166" s="1">
        <f>C217</f>
        <v>0.36</v>
      </c>
      <c r="J166" s="1">
        <f>I164/I166</f>
        <v>6.3611111111111116</v>
      </c>
      <c r="K166" s="1">
        <f>C216</f>
        <v>0.25</v>
      </c>
      <c r="L166" s="1">
        <f>K164/K166</f>
        <v>22</v>
      </c>
      <c r="M166" s="1">
        <f>C218</f>
        <v>0.18</v>
      </c>
      <c r="N166" s="1">
        <f>M164/M166</f>
        <v>12.611111111111112</v>
      </c>
      <c r="Q166" s="1" t="s">
        <v>57</v>
      </c>
      <c r="R166" s="1">
        <f>R165*R164</f>
        <v>23000</v>
      </c>
    </row>
    <row r="167" spans="9:18" x14ac:dyDescent="0.25">
      <c r="Q167" s="1" t="s">
        <v>25</v>
      </c>
      <c r="R167" s="27">
        <f>C219*R164</f>
        <v>22680</v>
      </c>
    </row>
    <row r="168" spans="9:18" x14ac:dyDescent="0.25">
      <c r="Q168" s="1" t="s">
        <v>26</v>
      </c>
      <c r="R168" s="30">
        <f>I173*J173*N172</f>
        <v>25.660800000000002</v>
      </c>
    </row>
    <row r="169" spans="9:18" x14ac:dyDescent="0.25">
      <c r="Q169" s="1" t="s">
        <v>40</v>
      </c>
      <c r="R169" s="12">
        <f>R168*100/28.8</f>
        <v>89.100000000000009</v>
      </c>
    </row>
    <row r="170" spans="9:18" x14ac:dyDescent="0.25">
      <c r="I170" s="256" t="s">
        <v>27</v>
      </c>
      <c r="J170" s="257"/>
      <c r="K170" s="258"/>
      <c r="L170" s="1" t="s">
        <v>36</v>
      </c>
      <c r="M170" s="1" t="s">
        <v>29</v>
      </c>
      <c r="N170" s="1" t="s">
        <v>58</v>
      </c>
    </row>
    <row r="171" spans="9:18" x14ac:dyDescent="0.25">
      <c r="I171" s="1">
        <f>TRUNC(J165,0)</f>
        <v>9</v>
      </c>
      <c r="J171" s="1">
        <f>TRUNC(L165,0)</f>
        <v>15</v>
      </c>
      <c r="K171" s="1">
        <f>TRUNC(N165,0)</f>
        <v>12</v>
      </c>
      <c r="L171" s="1">
        <f>I171*J171</f>
        <v>135</v>
      </c>
      <c r="M171" s="1">
        <f>K171</f>
        <v>12</v>
      </c>
      <c r="N171" s="1">
        <f>M171*M165</f>
        <v>2.16</v>
      </c>
    </row>
    <row r="172" spans="9:18" x14ac:dyDescent="0.25">
      <c r="I172" s="1">
        <f>TRUNC(J166,0)</f>
        <v>6</v>
      </c>
      <c r="J172" s="1">
        <f>TRUNC(L166,0)</f>
        <v>22</v>
      </c>
      <c r="K172" s="1">
        <f>TRUNC(N166,0)</f>
        <v>12</v>
      </c>
      <c r="L172" s="1">
        <f>I172*J172</f>
        <v>132</v>
      </c>
      <c r="M172" s="1">
        <f>K172</f>
        <v>12</v>
      </c>
      <c r="N172" s="1">
        <f>M172*M166</f>
        <v>2.16</v>
      </c>
    </row>
    <row r="173" spans="9:18" x14ac:dyDescent="0.25">
      <c r="I173" s="1">
        <f>I172*I166</f>
        <v>2.16</v>
      </c>
      <c r="J173" s="1">
        <f>K166*J172</f>
        <v>5.5</v>
      </c>
    </row>
    <row r="179" spans="9:19" x14ac:dyDescent="0.25">
      <c r="I179" s="263"/>
      <c r="J179" s="263"/>
      <c r="K179" s="263"/>
      <c r="L179" s="13"/>
      <c r="M179" s="13"/>
      <c r="N179" s="13"/>
      <c r="O179" s="13"/>
      <c r="P179" s="13"/>
      <c r="Q179" s="13"/>
      <c r="R179" s="13"/>
      <c r="S179" s="13"/>
    </row>
    <row r="180" spans="9:19" x14ac:dyDescent="0.25">
      <c r="I180" s="14"/>
      <c r="J180" s="13"/>
      <c r="K180" s="13"/>
      <c r="L180" s="13"/>
      <c r="M180" s="13"/>
      <c r="N180" s="13"/>
      <c r="O180" s="13"/>
      <c r="P180" s="13"/>
      <c r="Q180" s="13"/>
      <c r="R180" s="13"/>
      <c r="S180" s="13"/>
    </row>
    <row r="181" spans="9:19" x14ac:dyDescent="0.25">
      <c r="I181" s="14"/>
      <c r="J181" s="13"/>
      <c r="K181" s="13"/>
      <c r="L181" s="13"/>
      <c r="M181" s="13"/>
      <c r="N181" s="13"/>
      <c r="O181" s="13"/>
      <c r="P181" s="13"/>
      <c r="Q181" s="13"/>
      <c r="R181" s="13"/>
      <c r="S181" s="13"/>
    </row>
    <row r="182" spans="9:19" x14ac:dyDescent="0.25">
      <c r="I182" s="14"/>
      <c r="J182" s="13"/>
      <c r="K182" s="13"/>
      <c r="L182" s="13"/>
      <c r="M182" s="13"/>
      <c r="N182" s="13"/>
      <c r="O182" s="13"/>
      <c r="P182" s="13"/>
      <c r="Q182" s="13"/>
      <c r="R182" s="13"/>
      <c r="S182" s="13"/>
    </row>
    <row r="190" spans="9:19" x14ac:dyDescent="0.25">
      <c r="I190" s="252" t="s">
        <v>59</v>
      </c>
      <c r="J190" s="253"/>
      <c r="K190" s="253"/>
      <c r="L190" s="253"/>
      <c r="M190" s="253"/>
      <c r="N190" s="254"/>
      <c r="Q190" s="255" t="s">
        <v>92</v>
      </c>
      <c r="R190" s="255"/>
    </row>
    <row r="191" spans="9:19" x14ac:dyDescent="0.25">
      <c r="I191" s="1">
        <f>C248</f>
        <v>2.29</v>
      </c>
      <c r="J191" s="1"/>
      <c r="K191" s="1">
        <f>C249</f>
        <v>11.59</v>
      </c>
      <c r="L191" s="1"/>
      <c r="M191" s="1">
        <f>C250</f>
        <v>2.54</v>
      </c>
      <c r="N191" s="1"/>
      <c r="Q191" s="1" t="s">
        <v>34</v>
      </c>
      <c r="R191" s="1">
        <f>L199*M199</f>
        <v>4032</v>
      </c>
    </row>
    <row r="192" spans="9:19" x14ac:dyDescent="0.25">
      <c r="I192" s="1">
        <f>C216</f>
        <v>0.25</v>
      </c>
      <c r="J192" s="1">
        <f>I191/I192</f>
        <v>9.16</v>
      </c>
      <c r="K192" s="1">
        <f>C217</f>
        <v>0.36</v>
      </c>
      <c r="L192" s="1">
        <f>K191/K192</f>
        <v>32.194444444444443</v>
      </c>
      <c r="M192" s="1">
        <f>C218</f>
        <v>0.18</v>
      </c>
      <c r="N192" s="1">
        <f>M191/M192</f>
        <v>14.111111111111112</v>
      </c>
      <c r="Q192" s="1" t="s">
        <v>43</v>
      </c>
      <c r="R192" s="1">
        <f>C220/R191</f>
        <v>5.7043650793650791</v>
      </c>
    </row>
    <row r="193" spans="9:18" x14ac:dyDescent="0.25">
      <c r="I193" s="1">
        <f>C217</f>
        <v>0.36</v>
      </c>
      <c r="J193" s="1">
        <f>I191/I193</f>
        <v>6.3611111111111116</v>
      </c>
      <c r="K193" s="1">
        <f>C216</f>
        <v>0.25</v>
      </c>
      <c r="L193" s="1">
        <f>K191/K193</f>
        <v>46.36</v>
      </c>
      <c r="M193" s="1">
        <f>C218</f>
        <v>0.18</v>
      </c>
      <c r="N193" s="1">
        <f>M191/M193</f>
        <v>14.111111111111112</v>
      </c>
      <c r="Q193" s="1" t="s">
        <v>57</v>
      </c>
      <c r="R193" s="1">
        <f>R191*R192</f>
        <v>23000</v>
      </c>
    </row>
    <row r="194" spans="9:18" x14ac:dyDescent="0.25">
      <c r="Q194" s="1" t="s">
        <v>25</v>
      </c>
      <c r="R194" s="27">
        <f>R191*C219</f>
        <v>56448</v>
      </c>
    </row>
    <row r="195" spans="9:18" x14ac:dyDescent="0.25">
      <c r="Q195" s="1" t="s">
        <v>26</v>
      </c>
      <c r="R195" s="30">
        <f>I200*J200*K200</f>
        <v>65.318399999999997</v>
      </c>
    </row>
    <row r="196" spans="9:18" x14ac:dyDescent="0.25">
      <c r="Q196" s="1" t="s">
        <v>40</v>
      </c>
      <c r="R196" s="12">
        <f>R195*100/C252</f>
        <v>96.768000000000001</v>
      </c>
    </row>
    <row r="197" spans="9:18" x14ac:dyDescent="0.25">
      <c r="I197" s="256" t="s">
        <v>27</v>
      </c>
      <c r="J197" s="257"/>
      <c r="K197" s="258"/>
      <c r="L197" s="1" t="s">
        <v>36</v>
      </c>
      <c r="M197" s="1" t="s">
        <v>29</v>
      </c>
      <c r="N197" s="1" t="s">
        <v>58</v>
      </c>
    </row>
    <row r="198" spans="9:18" x14ac:dyDescent="0.25">
      <c r="I198" s="1">
        <f>TRUNC(J193,0)</f>
        <v>6</v>
      </c>
      <c r="J198" s="1">
        <f>TRUNC(L193,0)</f>
        <v>46</v>
      </c>
      <c r="K198" s="1">
        <f>TRUNC(N193,0)</f>
        <v>14</v>
      </c>
      <c r="L198" s="1">
        <f>I198*J198</f>
        <v>276</v>
      </c>
      <c r="M198" s="1">
        <f>K198</f>
        <v>14</v>
      </c>
      <c r="N198" s="1">
        <f>M198*M193</f>
        <v>2.52</v>
      </c>
    </row>
    <row r="199" spans="9:18" x14ac:dyDescent="0.25">
      <c r="I199" s="1">
        <f>TRUNC(J192,0)</f>
        <v>9</v>
      </c>
      <c r="J199" s="1">
        <f>TRUNC(L192,0)</f>
        <v>32</v>
      </c>
      <c r="K199" s="1">
        <f>TRUNC(N192,0)</f>
        <v>14</v>
      </c>
      <c r="L199" s="1">
        <f>I199*J199</f>
        <v>288</v>
      </c>
      <c r="M199" s="1">
        <f>K199</f>
        <v>14</v>
      </c>
      <c r="N199" s="1">
        <f>M193*M199</f>
        <v>2.52</v>
      </c>
    </row>
    <row r="200" spans="9:18" x14ac:dyDescent="0.25">
      <c r="I200" s="1">
        <f>I192*I199</f>
        <v>2.25</v>
      </c>
      <c r="J200" s="1">
        <f>K192*J199</f>
        <v>11.52</v>
      </c>
      <c r="K200" s="1">
        <f>M192*K198</f>
        <v>2.52</v>
      </c>
    </row>
    <row r="215" spans="2:3" x14ac:dyDescent="0.25">
      <c r="B215" s="259" t="s">
        <v>81</v>
      </c>
      <c r="C215" s="260"/>
    </row>
    <row r="216" spans="2:3" ht="15" customHeight="1" x14ac:dyDescent="0.25">
      <c r="B216" s="5" t="s">
        <v>17</v>
      </c>
      <c r="C216" s="26">
        <v>0.25</v>
      </c>
    </row>
    <row r="217" spans="2:3" x14ac:dyDescent="0.25">
      <c r="B217" s="1" t="s">
        <v>18</v>
      </c>
      <c r="C217" s="26">
        <v>0.36</v>
      </c>
    </row>
    <row r="218" spans="2:3" x14ac:dyDescent="0.25">
      <c r="B218" s="1" t="s">
        <v>19</v>
      </c>
      <c r="C218" s="26">
        <v>0.18</v>
      </c>
    </row>
    <row r="219" spans="2:3" x14ac:dyDescent="0.25">
      <c r="B219" s="1" t="s">
        <v>20</v>
      </c>
      <c r="C219" s="27">
        <v>14</v>
      </c>
    </row>
    <row r="220" spans="2:3" x14ac:dyDescent="0.25">
      <c r="B220" s="1" t="s">
        <v>21</v>
      </c>
      <c r="C220" s="28">
        <v>23000</v>
      </c>
    </row>
    <row r="224" spans="2:3" x14ac:dyDescent="0.25">
      <c r="B224" s="261" t="s">
        <v>87</v>
      </c>
      <c r="C224" s="262"/>
    </row>
    <row r="225" spans="2:3" ht="15" customHeight="1" x14ac:dyDescent="0.25">
      <c r="B225" s="1" t="s">
        <v>17</v>
      </c>
      <c r="C225" s="26">
        <v>2.29</v>
      </c>
    </row>
    <row r="226" spans="2:3" x14ac:dyDescent="0.25">
      <c r="B226" s="1" t="s">
        <v>18</v>
      </c>
      <c r="C226" s="26">
        <v>5.5</v>
      </c>
    </row>
    <row r="227" spans="2:3" x14ac:dyDescent="0.25">
      <c r="B227" s="1" t="s">
        <v>19</v>
      </c>
      <c r="C227" s="26">
        <v>2.27</v>
      </c>
    </row>
    <row r="228" spans="2:3" x14ac:dyDescent="0.25">
      <c r="B228" s="1" t="s">
        <v>41</v>
      </c>
      <c r="C228" s="27">
        <v>27500</v>
      </c>
    </row>
    <row r="229" spans="2:3" x14ac:dyDescent="0.25">
      <c r="B229" s="1" t="s">
        <v>42</v>
      </c>
      <c r="C229" s="30">
        <v>28.8</v>
      </c>
    </row>
    <row r="247" spans="2:3" x14ac:dyDescent="0.25">
      <c r="B247" s="250" t="s">
        <v>86</v>
      </c>
      <c r="C247" s="251"/>
    </row>
    <row r="248" spans="2:3" ht="15" customHeight="1" x14ac:dyDescent="0.25">
      <c r="B248" s="1" t="s">
        <v>17</v>
      </c>
      <c r="C248" s="26">
        <v>2.29</v>
      </c>
    </row>
    <row r="249" spans="2:3" x14ac:dyDescent="0.25">
      <c r="B249" s="1" t="s">
        <v>18</v>
      </c>
      <c r="C249" s="26">
        <v>11.59</v>
      </c>
    </row>
    <row r="250" spans="2:3" x14ac:dyDescent="0.25">
      <c r="B250" s="1" t="s">
        <v>19</v>
      </c>
      <c r="C250" s="26">
        <v>2.54</v>
      </c>
    </row>
    <row r="251" spans="2:3" x14ac:dyDescent="0.25">
      <c r="B251" s="1" t="s">
        <v>41</v>
      </c>
      <c r="C251" s="27">
        <v>29240</v>
      </c>
    </row>
    <row r="252" spans="2:3" x14ac:dyDescent="0.25">
      <c r="B252" s="1" t="s">
        <v>42</v>
      </c>
      <c r="C252" s="30">
        <v>67.5</v>
      </c>
    </row>
  </sheetData>
  <mergeCells count="36">
    <mergeCell ref="B34:C34"/>
    <mergeCell ref="I34:N34"/>
    <mergeCell ref="Q32:R32"/>
    <mergeCell ref="I43:K43"/>
    <mergeCell ref="B54:C54"/>
    <mergeCell ref="B1:C1"/>
    <mergeCell ref="I6:N6"/>
    <mergeCell ref="Q4:R4"/>
    <mergeCell ref="I12:K12"/>
    <mergeCell ref="B14:C14"/>
    <mergeCell ref="Q67:R67"/>
    <mergeCell ref="I74:K74"/>
    <mergeCell ref="B104:C104"/>
    <mergeCell ref="I93:N93"/>
    <mergeCell ref="B76:C76"/>
    <mergeCell ref="B67:C67"/>
    <mergeCell ref="I67:N67"/>
    <mergeCell ref="Q117:R117"/>
    <mergeCell ref="I124:K124"/>
    <mergeCell ref="I141:N141"/>
    <mergeCell ref="Q93:R93"/>
    <mergeCell ref="I100:K100"/>
    <mergeCell ref="I117:N117"/>
    <mergeCell ref="I170:K170"/>
    <mergeCell ref="B224:C224"/>
    <mergeCell ref="I179:K179"/>
    <mergeCell ref="Q141:R141"/>
    <mergeCell ref="I148:K148"/>
    <mergeCell ref="I163:N163"/>
    <mergeCell ref="Q163:R163"/>
    <mergeCell ref="B152:C152"/>
    <mergeCell ref="B247:C247"/>
    <mergeCell ref="I190:N190"/>
    <mergeCell ref="Q190:R190"/>
    <mergeCell ref="I197:K197"/>
    <mergeCell ref="B215:C215"/>
  </mergeCell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6" tint="0.39997558519241921"/>
  </sheetPr>
  <dimension ref="A1:AD73"/>
  <sheetViews>
    <sheetView topLeftCell="G22" zoomScale="77" zoomScaleNormal="77" workbookViewId="0">
      <selection activeCell="N26" sqref="N26"/>
    </sheetView>
  </sheetViews>
  <sheetFormatPr baseColWidth="10" defaultRowHeight="15" x14ac:dyDescent="0.25"/>
  <cols>
    <col min="1" max="1" width="25" customWidth="1"/>
    <col min="2" max="2" width="19.42578125" customWidth="1"/>
    <col min="3" max="3" width="14.28515625" customWidth="1"/>
    <col min="4" max="4" width="15.42578125" customWidth="1"/>
    <col min="6" max="6" width="13.85546875" customWidth="1"/>
    <col min="7" max="7" width="21.140625" customWidth="1"/>
    <col min="10" max="10" width="17.42578125" customWidth="1"/>
    <col min="11" max="11" width="20.28515625" customWidth="1"/>
    <col min="12" max="12" width="17.5703125" customWidth="1"/>
    <col min="14" max="14" width="27.42578125" customWidth="1"/>
    <col min="15" max="15" width="17.42578125" customWidth="1"/>
    <col min="16" max="17" width="18.7109375" customWidth="1"/>
    <col min="18" max="18" width="11.42578125" customWidth="1"/>
    <col min="19" max="20" width="11.5703125" customWidth="1"/>
    <col min="22" max="22" width="11.42578125" customWidth="1"/>
    <col min="26" max="26" width="18.140625" customWidth="1"/>
    <col min="27" max="27" width="88" customWidth="1"/>
  </cols>
  <sheetData>
    <row r="1" spans="1:15" ht="15.75" x14ac:dyDescent="0.25">
      <c r="A1" s="291" t="s">
        <v>81</v>
      </c>
      <c r="B1" s="292"/>
    </row>
    <row r="2" spans="1:15" x14ac:dyDescent="0.25">
      <c r="A2" s="5" t="s">
        <v>17</v>
      </c>
      <c r="B2" s="26">
        <v>0.25</v>
      </c>
    </row>
    <row r="3" spans="1:15" x14ac:dyDescent="0.25">
      <c r="A3" s="1" t="s">
        <v>18</v>
      </c>
      <c r="B3" s="26">
        <v>0.36</v>
      </c>
      <c r="L3" s="6"/>
    </row>
    <row r="4" spans="1:15" x14ac:dyDescent="0.25">
      <c r="A4" s="1" t="s">
        <v>19</v>
      </c>
      <c r="B4" s="26">
        <v>0.18</v>
      </c>
      <c r="L4" s="6"/>
    </row>
    <row r="5" spans="1:15" x14ac:dyDescent="0.25">
      <c r="A5" s="1" t="s">
        <v>20</v>
      </c>
      <c r="B5" s="27">
        <v>14</v>
      </c>
      <c r="E5" s="284" t="s">
        <v>22</v>
      </c>
      <c r="F5" s="285"/>
      <c r="G5" s="285"/>
      <c r="H5" s="285"/>
      <c r="I5" s="285"/>
      <c r="J5" s="286"/>
      <c r="N5" s="256" t="s">
        <v>88</v>
      </c>
      <c r="O5" s="258"/>
    </row>
    <row r="6" spans="1:15" x14ac:dyDescent="0.25">
      <c r="A6" s="1" t="s">
        <v>21</v>
      </c>
      <c r="B6" s="28">
        <v>23000</v>
      </c>
      <c r="E6" s="21">
        <f>B15</f>
        <v>1.2</v>
      </c>
      <c r="F6" s="21"/>
      <c r="G6" s="21">
        <f>B16</f>
        <v>1</v>
      </c>
      <c r="H6" s="21"/>
      <c r="I6" s="21">
        <f>B17</f>
        <v>0.17</v>
      </c>
      <c r="J6" s="21"/>
      <c r="N6" s="7" t="s">
        <v>23</v>
      </c>
      <c r="O6" s="8">
        <f>H13*I13</f>
        <v>48</v>
      </c>
    </row>
    <row r="7" spans="1:15" x14ac:dyDescent="0.25">
      <c r="E7" s="21">
        <f>B2</f>
        <v>0.25</v>
      </c>
      <c r="F7" s="21">
        <f>E6/E7</f>
        <v>4.8</v>
      </c>
      <c r="G7" s="9">
        <f>B3</f>
        <v>0.36</v>
      </c>
      <c r="H7" s="21">
        <f>G6/G7</f>
        <v>2.7777777777777777</v>
      </c>
      <c r="I7" s="9">
        <f>B4</f>
        <v>0.18</v>
      </c>
      <c r="J7" s="21">
        <f>I6/I7</f>
        <v>0.94444444444444453</v>
      </c>
      <c r="N7" s="1" t="s">
        <v>29</v>
      </c>
      <c r="O7" s="34">
        <f>I13</f>
        <v>4</v>
      </c>
    </row>
    <row r="8" spans="1:15" x14ac:dyDescent="0.25">
      <c r="E8" s="21">
        <f>B3</f>
        <v>0.36</v>
      </c>
      <c r="F8" s="21">
        <f>E6/E8</f>
        <v>3.3333333333333335</v>
      </c>
      <c r="G8" s="9">
        <f>B2</f>
        <v>0.25</v>
      </c>
      <c r="H8" s="21">
        <f>G6/G8</f>
        <v>4</v>
      </c>
      <c r="I8" s="9">
        <f>B4</f>
        <v>0.18</v>
      </c>
      <c r="J8" s="21">
        <f>I6/I8</f>
        <v>0.94444444444444453</v>
      </c>
      <c r="N8" s="1" t="s">
        <v>93</v>
      </c>
      <c r="O8" s="35">
        <f>J13</f>
        <v>0.89</v>
      </c>
    </row>
    <row r="9" spans="1:15" x14ac:dyDescent="0.25">
      <c r="N9" s="1" t="s">
        <v>24</v>
      </c>
      <c r="O9" s="1">
        <f>B6/O6</f>
        <v>479.16666666666669</v>
      </c>
    </row>
    <row r="10" spans="1:15" x14ac:dyDescent="0.25">
      <c r="N10" s="1" t="s">
        <v>25</v>
      </c>
      <c r="O10" s="27">
        <f>B5*O6+B18</f>
        <v>697</v>
      </c>
    </row>
    <row r="11" spans="1:15" ht="15.75" customHeight="1" x14ac:dyDescent="0.25">
      <c r="E11" s="284" t="s">
        <v>27</v>
      </c>
      <c r="F11" s="285"/>
      <c r="G11" s="286"/>
      <c r="H11" s="21" t="s">
        <v>28</v>
      </c>
      <c r="I11" s="21" t="s">
        <v>29</v>
      </c>
      <c r="J11" s="10" t="s">
        <v>30</v>
      </c>
      <c r="N11" s="1" t="s">
        <v>26</v>
      </c>
      <c r="O11" s="30">
        <f>J13*B15*B16</f>
        <v>1.0680000000000001</v>
      </c>
    </row>
    <row r="12" spans="1:15" ht="15" customHeight="1" x14ac:dyDescent="0.25">
      <c r="E12" s="21">
        <f>TRUNC(F7,0)</f>
        <v>4</v>
      </c>
      <c r="F12" s="21">
        <f>TRUNC(H7,0)</f>
        <v>2</v>
      </c>
      <c r="G12" s="21">
        <f>TRUNC(J7,1)</f>
        <v>0.9</v>
      </c>
      <c r="H12" s="21">
        <f>E12*F12</f>
        <v>8</v>
      </c>
      <c r="I12" s="11">
        <v>9</v>
      </c>
      <c r="J12" s="22">
        <f>I12*I7+B17</f>
        <v>1.7899999999999998</v>
      </c>
    </row>
    <row r="13" spans="1:15" x14ac:dyDescent="0.25">
      <c r="E13" s="21">
        <f>TRUNC(F8,0)</f>
        <v>3</v>
      </c>
      <c r="F13" s="21">
        <f>TRUNC(H8,0)</f>
        <v>4</v>
      </c>
      <c r="G13" s="21">
        <f>TRUNC(J8,1)</f>
        <v>0.9</v>
      </c>
      <c r="H13" s="21">
        <f>E13*F13</f>
        <v>12</v>
      </c>
      <c r="I13" s="21">
        <v>4</v>
      </c>
      <c r="J13" s="21">
        <f>I13*I8+B17</f>
        <v>0.89</v>
      </c>
    </row>
    <row r="14" spans="1:15" x14ac:dyDescent="0.25">
      <c r="A14" s="276" t="s">
        <v>82</v>
      </c>
      <c r="B14" s="276"/>
    </row>
    <row r="15" spans="1:15" x14ac:dyDescent="0.25">
      <c r="A15" s="1" t="s">
        <v>31</v>
      </c>
      <c r="B15" s="26">
        <v>1.2</v>
      </c>
    </row>
    <row r="16" spans="1:15" x14ac:dyDescent="0.25">
      <c r="A16" s="1" t="s">
        <v>18</v>
      </c>
      <c r="B16" s="26">
        <v>1</v>
      </c>
    </row>
    <row r="17" spans="1:30" x14ac:dyDescent="0.25">
      <c r="A17" s="1" t="s">
        <v>19</v>
      </c>
      <c r="B17" s="26">
        <v>0.17</v>
      </c>
      <c r="N17" s="24"/>
    </row>
    <row r="18" spans="1:30" x14ac:dyDescent="0.25">
      <c r="A18" s="1" t="s">
        <v>32</v>
      </c>
      <c r="B18" s="27">
        <v>25</v>
      </c>
      <c r="N18" s="32">
        <f>O10</f>
        <v>697</v>
      </c>
    </row>
    <row r="19" spans="1:30" x14ac:dyDescent="0.25">
      <c r="B19" s="29"/>
      <c r="C19" s="29"/>
      <c r="M19" s="36">
        <f>O7</f>
        <v>4</v>
      </c>
      <c r="N19" s="24"/>
      <c r="O19" s="37">
        <f>O8</f>
        <v>0.89</v>
      </c>
    </row>
    <row r="20" spans="1:30" x14ac:dyDescent="0.25">
      <c r="N20" s="33">
        <f>O11</f>
        <v>1.0680000000000001</v>
      </c>
    </row>
    <row r="21" spans="1:30" x14ac:dyDescent="0.25">
      <c r="N21" s="24"/>
    </row>
    <row r="22" spans="1:30" x14ac:dyDescent="0.25">
      <c r="N22" s="24"/>
    </row>
    <row r="23" spans="1:30" x14ac:dyDescent="0.25">
      <c r="N23" s="25">
        <f>O6</f>
        <v>48</v>
      </c>
    </row>
    <row r="25" spans="1:30" ht="75" x14ac:dyDescent="0.25">
      <c r="AA25" s="41" t="s">
        <v>97</v>
      </c>
    </row>
    <row r="26" spans="1:30" ht="120" x14ac:dyDescent="0.25">
      <c r="AA26" s="41" t="s">
        <v>98</v>
      </c>
    </row>
    <row r="27" spans="1:30" x14ac:dyDescent="0.25">
      <c r="E27" s="280" t="s">
        <v>37</v>
      </c>
      <c r="F27" s="280"/>
      <c r="G27" s="280"/>
      <c r="H27" s="280"/>
      <c r="I27" s="280"/>
      <c r="J27" s="280"/>
      <c r="N27" s="274" t="s">
        <v>90</v>
      </c>
      <c r="O27" s="275"/>
    </row>
    <row r="28" spans="1:30" x14ac:dyDescent="0.25">
      <c r="A28" s="261" t="s">
        <v>84</v>
      </c>
      <c r="B28" s="262"/>
      <c r="E28" s="1">
        <f>B29</f>
        <v>2.29</v>
      </c>
      <c r="F28" s="1"/>
      <c r="G28" s="1">
        <f>B30</f>
        <v>5.5</v>
      </c>
      <c r="H28" s="1"/>
      <c r="I28" s="1">
        <f>B31</f>
        <v>2.27</v>
      </c>
      <c r="J28" s="1"/>
      <c r="N28" s="1" t="s">
        <v>23</v>
      </c>
      <c r="O28" s="28">
        <f>B44*H38</f>
        <v>864</v>
      </c>
    </row>
    <row r="29" spans="1:30" x14ac:dyDescent="0.25">
      <c r="A29" s="1" t="s">
        <v>17</v>
      </c>
      <c r="B29" s="26">
        <v>2.29</v>
      </c>
      <c r="E29" s="1">
        <f>B38</f>
        <v>1.2</v>
      </c>
      <c r="F29" s="1">
        <f>E29*1</f>
        <v>1.2</v>
      </c>
      <c r="G29" s="1">
        <f>B39</f>
        <v>1</v>
      </c>
      <c r="H29" s="7">
        <f>TRUNC(G28/G29,0)</f>
        <v>5</v>
      </c>
      <c r="I29" s="1">
        <f>B42</f>
        <v>0.89</v>
      </c>
      <c r="J29" s="1">
        <f>I28/I29</f>
        <v>2.5505617977528088</v>
      </c>
      <c r="N29" s="1" t="s">
        <v>43</v>
      </c>
      <c r="O29" s="42">
        <f>TRUNC(B6/O28,0)</f>
        <v>26</v>
      </c>
      <c r="AD29" s="44"/>
    </row>
    <row r="30" spans="1:30" x14ac:dyDescent="0.25">
      <c r="A30" s="1" t="s">
        <v>18</v>
      </c>
      <c r="B30" s="26">
        <v>5.5</v>
      </c>
      <c r="E30" s="1">
        <f>B39</f>
        <v>1</v>
      </c>
      <c r="F30" s="1">
        <f>E30*1</f>
        <v>1</v>
      </c>
      <c r="G30" s="1">
        <f>B38</f>
        <v>1.2</v>
      </c>
      <c r="H30" s="7">
        <v>0</v>
      </c>
      <c r="N30" s="1" t="s">
        <v>313</v>
      </c>
      <c r="O30" s="42">
        <f>H38</f>
        <v>18</v>
      </c>
    </row>
    <row r="31" spans="1:30" x14ac:dyDescent="0.25">
      <c r="A31" s="1" t="s">
        <v>19</v>
      </c>
      <c r="B31" s="26">
        <v>2.27</v>
      </c>
      <c r="F31" s="1">
        <f>F29+F30</f>
        <v>2.2000000000000002</v>
      </c>
      <c r="H31" s="38">
        <f>H29+H30</f>
        <v>5</v>
      </c>
      <c r="N31" s="1" t="s">
        <v>38</v>
      </c>
      <c r="O31" s="31">
        <f>O29*H38</f>
        <v>468</v>
      </c>
    </row>
    <row r="32" spans="1:30" x14ac:dyDescent="0.25">
      <c r="A32" s="1" t="s">
        <v>41</v>
      </c>
      <c r="B32" s="27">
        <v>27500</v>
      </c>
      <c r="N32" s="1" t="s">
        <v>25</v>
      </c>
      <c r="O32" s="27">
        <f>B43*H38</f>
        <v>12546</v>
      </c>
    </row>
    <row r="33" spans="1:16" x14ac:dyDescent="0.25">
      <c r="A33" s="1" t="s">
        <v>42</v>
      </c>
      <c r="B33" s="30">
        <v>28.8</v>
      </c>
      <c r="N33" s="1" t="s">
        <v>26</v>
      </c>
      <c r="O33" s="30">
        <f>F31*H31*J40</f>
        <v>24.53</v>
      </c>
    </row>
    <row r="34" spans="1:16" x14ac:dyDescent="0.25">
      <c r="N34" s="1" t="s">
        <v>40</v>
      </c>
      <c r="O34" s="12">
        <f>O33*100/B33</f>
        <v>85.173611111111114</v>
      </c>
    </row>
    <row r="37" spans="1:16" x14ac:dyDescent="0.25">
      <c r="A37" s="250" t="s">
        <v>85</v>
      </c>
      <c r="B37" s="251"/>
      <c r="E37" s="256" t="s">
        <v>27</v>
      </c>
      <c r="F37" s="257"/>
      <c r="G37" s="258"/>
      <c r="H37" s="1" t="s">
        <v>45</v>
      </c>
      <c r="I37" s="1" t="s">
        <v>29</v>
      </c>
      <c r="J37" s="1" t="s">
        <v>39</v>
      </c>
      <c r="K37" s="43" t="s">
        <v>94</v>
      </c>
      <c r="L37" s="43" t="s">
        <v>95</v>
      </c>
    </row>
    <row r="38" spans="1:16" x14ac:dyDescent="0.25">
      <c r="A38" s="1" t="s">
        <v>31</v>
      </c>
      <c r="B38" s="26">
        <v>1.2</v>
      </c>
      <c r="E38" s="1">
        <f>TRUNC(F29,0)</f>
        <v>1</v>
      </c>
      <c r="F38" s="1">
        <f>TRUNC(H29,0)</f>
        <v>5</v>
      </c>
      <c r="G38" s="1">
        <f>TRUNC(J29,0)</f>
        <v>2</v>
      </c>
      <c r="H38" s="1">
        <f>F40*I38</f>
        <v>18</v>
      </c>
      <c r="I38" s="1">
        <v>2</v>
      </c>
      <c r="J38" s="1">
        <f>I38*I29</f>
        <v>1.78</v>
      </c>
      <c r="K38" s="1">
        <v>0.2</v>
      </c>
      <c r="L38" s="1">
        <v>0.25</v>
      </c>
    </row>
    <row r="39" spans="1:16" x14ac:dyDescent="0.25">
      <c r="A39" s="1" t="s">
        <v>18</v>
      </c>
      <c r="B39" s="26">
        <v>1</v>
      </c>
      <c r="E39" s="4">
        <f>TRUNC(F30,0)</f>
        <v>1</v>
      </c>
      <c r="F39" s="39">
        <f>TRUNC(G28/G30,0)</f>
        <v>4</v>
      </c>
      <c r="J39" s="1" t="s">
        <v>96</v>
      </c>
      <c r="P39" t="s">
        <v>60</v>
      </c>
    </row>
    <row r="40" spans="1:16" x14ac:dyDescent="0.25">
      <c r="A40" s="1" t="s">
        <v>19</v>
      </c>
      <c r="B40" s="26">
        <v>0.17</v>
      </c>
      <c r="E40" s="1">
        <f>E38+E39</f>
        <v>2</v>
      </c>
      <c r="F40" s="1">
        <f>F38+F39</f>
        <v>9</v>
      </c>
      <c r="J40" s="1">
        <f>J38+K38+L38</f>
        <v>2.23</v>
      </c>
    </row>
    <row r="41" spans="1:16" x14ac:dyDescent="0.25">
      <c r="A41" s="1" t="s">
        <v>32</v>
      </c>
      <c r="B41" s="27">
        <v>25</v>
      </c>
    </row>
    <row r="42" spans="1:16" x14ac:dyDescent="0.25">
      <c r="A42" s="1" t="s">
        <v>44</v>
      </c>
      <c r="B42" s="26">
        <f>O8</f>
        <v>0.89</v>
      </c>
    </row>
    <row r="43" spans="1:16" x14ac:dyDescent="0.25">
      <c r="A43" s="1" t="s">
        <v>46</v>
      </c>
      <c r="B43" s="27">
        <f>O10</f>
        <v>697</v>
      </c>
    </row>
    <row r="44" spans="1:16" x14ac:dyDescent="0.25">
      <c r="A44" s="1" t="s">
        <v>47</v>
      </c>
      <c r="B44" s="28">
        <f>O6</f>
        <v>48</v>
      </c>
    </row>
    <row r="45" spans="1:16" x14ac:dyDescent="0.25">
      <c r="A45" s="1" t="s">
        <v>48</v>
      </c>
      <c r="B45" s="31">
        <f>O9</f>
        <v>479.16666666666669</v>
      </c>
    </row>
    <row r="46" spans="1:16" x14ac:dyDescent="0.25">
      <c r="H46" s="290" t="s">
        <v>213</v>
      </c>
      <c r="I46" s="290"/>
      <c r="J46" s="290"/>
      <c r="K46" s="290"/>
      <c r="L46" s="290"/>
    </row>
    <row r="49" spans="1:17" x14ac:dyDescent="0.25">
      <c r="A49" s="293" t="s">
        <v>99</v>
      </c>
      <c r="B49" s="293"/>
      <c r="E49" s="283" t="s">
        <v>100</v>
      </c>
      <c r="F49" s="283"/>
      <c r="G49" s="283"/>
      <c r="J49" s="283" t="s">
        <v>105</v>
      </c>
      <c r="K49" s="283"/>
      <c r="L49" s="283"/>
      <c r="N49" s="256" t="s">
        <v>106</v>
      </c>
      <c r="O49" s="258"/>
      <c r="P49" s="147"/>
    </row>
    <row r="50" spans="1:17" x14ac:dyDescent="0.25">
      <c r="A50" s="1" t="s">
        <v>103</v>
      </c>
      <c r="B50" s="1">
        <v>5</v>
      </c>
      <c r="E50" s="289" t="s">
        <v>102</v>
      </c>
      <c r="F50" s="289"/>
      <c r="G50" s="1">
        <v>7</v>
      </c>
      <c r="J50" s="287" t="s">
        <v>103</v>
      </c>
      <c r="K50" s="288"/>
      <c r="L50" s="1">
        <v>8</v>
      </c>
      <c r="N50" s="287" t="s">
        <v>102</v>
      </c>
      <c r="O50" s="288"/>
      <c r="P50" s="1">
        <v>7</v>
      </c>
    </row>
    <row r="51" spans="1:17" x14ac:dyDescent="0.25">
      <c r="A51" s="1" t="s">
        <v>55</v>
      </c>
      <c r="B51" s="1">
        <f>B50*H38</f>
        <v>90</v>
      </c>
      <c r="E51" s="289" t="s">
        <v>38</v>
      </c>
      <c r="F51" s="289"/>
      <c r="G51" s="1">
        <f>H38*G50</f>
        <v>126</v>
      </c>
      <c r="J51" s="287" t="s">
        <v>55</v>
      </c>
      <c r="K51" s="288"/>
      <c r="L51" s="1">
        <f>H38*L50</f>
        <v>144</v>
      </c>
      <c r="N51" s="287" t="s">
        <v>38</v>
      </c>
      <c r="O51" s="288"/>
      <c r="P51" s="1">
        <f>H38*P50</f>
        <v>126</v>
      </c>
    </row>
    <row r="52" spans="1:17" x14ac:dyDescent="0.25">
      <c r="A52" s="1" t="s">
        <v>34</v>
      </c>
      <c r="B52" s="28">
        <f>O28*B50</f>
        <v>4320</v>
      </c>
      <c r="E52" s="289" t="s">
        <v>23</v>
      </c>
      <c r="F52" s="289"/>
      <c r="G52" s="28">
        <f>O28*G50</f>
        <v>6048</v>
      </c>
      <c r="J52" s="287" t="s">
        <v>34</v>
      </c>
      <c r="K52" s="288"/>
      <c r="L52" s="28">
        <f>O28*L50</f>
        <v>6912</v>
      </c>
      <c r="N52" s="287" t="s">
        <v>23</v>
      </c>
      <c r="O52" s="288"/>
      <c r="P52" s="28">
        <f>O28*P50</f>
        <v>6048</v>
      </c>
    </row>
    <row r="53" spans="1:17" x14ac:dyDescent="0.25">
      <c r="A53" s="1" t="s">
        <v>25</v>
      </c>
      <c r="B53" s="27">
        <f>O32*B50</f>
        <v>62730</v>
      </c>
      <c r="E53" s="289" t="s">
        <v>25</v>
      </c>
      <c r="F53" s="289"/>
      <c r="G53" s="27">
        <f>O32*G50</f>
        <v>87822</v>
      </c>
      <c r="J53" s="287" t="s">
        <v>25</v>
      </c>
      <c r="K53" s="288"/>
      <c r="L53" s="27">
        <f>O32*L50</f>
        <v>100368</v>
      </c>
      <c r="N53" s="287" t="s">
        <v>25</v>
      </c>
      <c r="O53" s="288"/>
      <c r="P53" s="27">
        <f>O32*P50</f>
        <v>87822</v>
      </c>
    </row>
    <row r="54" spans="1:17" x14ac:dyDescent="0.25">
      <c r="A54" s="1" t="s">
        <v>26</v>
      </c>
      <c r="B54" s="30">
        <f>O33*B50</f>
        <v>122.65</v>
      </c>
      <c r="E54" s="289" t="s">
        <v>26</v>
      </c>
      <c r="F54" s="289"/>
      <c r="G54" s="30">
        <f>O33*G50</f>
        <v>171.71</v>
      </c>
      <c r="J54" s="287" t="s">
        <v>26</v>
      </c>
      <c r="K54" s="288"/>
      <c r="L54" s="30">
        <f>O33*L50</f>
        <v>196.24</v>
      </c>
      <c r="N54" s="287" t="s">
        <v>26</v>
      </c>
      <c r="O54" s="288"/>
      <c r="P54" s="30">
        <f>O33*P50</f>
        <v>171.71</v>
      </c>
    </row>
    <row r="55" spans="1:17" x14ac:dyDescent="0.25">
      <c r="A55" s="1" t="s">
        <v>101</v>
      </c>
      <c r="B55" s="16">
        <v>45069</v>
      </c>
      <c r="E55" s="289" t="s">
        <v>104</v>
      </c>
      <c r="F55" s="289"/>
      <c r="G55" s="16">
        <f>+B55+12</f>
        <v>45081</v>
      </c>
      <c r="J55" s="287" t="s">
        <v>101</v>
      </c>
      <c r="K55" s="288"/>
      <c r="L55" s="16">
        <f>+G55+12</f>
        <v>45093</v>
      </c>
      <c r="M55" s="40"/>
      <c r="N55" s="289" t="s">
        <v>104</v>
      </c>
      <c r="O55" s="289"/>
      <c r="P55" s="16">
        <f>+L55+12</f>
        <v>45105</v>
      </c>
      <c r="Q55" s="140"/>
    </row>
    <row r="56" spans="1:17" x14ac:dyDescent="0.25">
      <c r="A56" s="264" t="s">
        <v>88</v>
      </c>
      <c r="B56" s="265"/>
      <c r="E56" s="294" t="s">
        <v>88</v>
      </c>
      <c r="F56" s="294"/>
      <c r="G56" s="294"/>
      <c r="J56" s="294" t="s">
        <v>88</v>
      </c>
      <c r="K56" s="294"/>
      <c r="L56" s="294"/>
      <c r="N56" s="294" t="s">
        <v>88</v>
      </c>
      <c r="O56" s="294"/>
      <c r="P56" s="294"/>
    </row>
    <row r="57" spans="1:17" x14ac:dyDescent="0.25">
      <c r="A57" s="7" t="s">
        <v>23</v>
      </c>
      <c r="B57" s="8">
        <f t="shared" ref="B57:B62" si="0">O6</f>
        <v>48</v>
      </c>
      <c r="E57" s="295" t="s">
        <v>23</v>
      </c>
      <c r="F57" s="295"/>
      <c r="G57" s="8">
        <f t="shared" ref="G57:G62" si="1">O6</f>
        <v>48</v>
      </c>
      <c r="J57" s="295" t="s">
        <v>23</v>
      </c>
      <c r="K57" s="295"/>
      <c r="L57" s="8">
        <f t="shared" ref="L57:L62" si="2">O6</f>
        <v>48</v>
      </c>
      <c r="N57" s="295" t="s">
        <v>23</v>
      </c>
      <c r="O57" s="295"/>
      <c r="P57" s="8">
        <f t="shared" ref="P57:P62" si="3">O6</f>
        <v>48</v>
      </c>
    </row>
    <row r="58" spans="1:17" x14ac:dyDescent="0.25">
      <c r="A58" s="1" t="s">
        <v>29</v>
      </c>
      <c r="B58" s="34">
        <f t="shared" si="0"/>
        <v>4</v>
      </c>
      <c r="E58" s="289" t="s">
        <v>29</v>
      </c>
      <c r="F58" s="289"/>
      <c r="G58" s="34">
        <f t="shared" si="1"/>
        <v>4</v>
      </c>
      <c r="J58" s="289" t="s">
        <v>29</v>
      </c>
      <c r="K58" s="289"/>
      <c r="L58" s="34">
        <f t="shared" si="2"/>
        <v>4</v>
      </c>
      <c r="N58" s="289" t="s">
        <v>29</v>
      </c>
      <c r="O58" s="289"/>
      <c r="P58" s="34">
        <f t="shared" si="3"/>
        <v>4</v>
      </c>
    </row>
    <row r="59" spans="1:17" x14ac:dyDescent="0.25">
      <c r="A59" s="1" t="s">
        <v>93</v>
      </c>
      <c r="B59" s="35">
        <f t="shared" si="0"/>
        <v>0.89</v>
      </c>
      <c r="E59" s="289" t="s">
        <v>93</v>
      </c>
      <c r="F59" s="289"/>
      <c r="G59" s="35">
        <f t="shared" si="1"/>
        <v>0.89</v>
      </c>
      <c r="J59" s="289" t="s">
        <v>93</v>
      </c>
      <c r="K59" s="289"/>
      <c r="L59" s="35">
        <f t="shared" si="2"/>
        <v>0.89</v>
      </c>
      <c r="N59" s="289" t="s">
        <v>93</v>
      </c>
      <c r="O59" s="289"/>
      <c r="P59" s="35">
        <f t="shared" si="3"/>
        <v>0.89</v>
      </c>
    </row>
    <row r="60" spans="1:17" x14ac:dyDescent="0.25">
      <c r="A60" s="1" t="s">
        <v>24</v>
      </c>
      <c r="B60" s="1">
        <f t="shared" si="0"/>
        <v>479.16666666666669</v>
      </c>
      <c r="E60" s="289" t="s">
        <v>24</v>
      </c>
      <c r="F60" s="289"/>
      <c r="G60" s="1">
        <f t="shared" si="1"/>
        <v>479.16666666666669</v>
      </c>
      <c r="J60" s="289" t="s">
        <v>24</v>
      </c>
      <c r="K60" s="289"/>
      <c r="L60" s="1">
        <f t="shared" si="2"/>
        <v>479.16666666666669</v>
      </c>
      <c r="N60" s="289" t="s">
        <v>24</v>
      </c>
      <c r="O60" s="289"/>
      <c r="P60" s="1">
        <f t="shared" si="3"/>
        <v>479.16666666666669</v>
      </c>
    </row>
    <row r="61" spans="1:17" x14ac:dyDescent="0.25">
      <c r="A61" s="1" t="s">
        <v>25</v>
      </c>
      <c r="B61" s="27">
        <f t="shared" si="0"/>
        <v>697</v>
      </c>
      <c r="E61" s="289" t="s">
        <v>25</v>
      </c>
      <c r="F61" s="289"/>
      <c r="G61" s="27">
        <f t="shared" si="1"/>
        <v>697</v>
      </c>
      <c r="J61" s="289" t="s">
        <v>25</v>
      </c>
      <c r="K61" s="289"/>
      <c r="L61" s="27">
        <f t="shared" si="2"/>
        <v>697</v>
      </c>
      <c r="N61" s="289" t="s">
        <v>25</v>
      </c>
      <c r="O61" s="289"/>
      <c r="P61" s="27">
        <f t="shared" si="3"/>
        <v>697</v>
      </c>
    </row>
    <row r="62" spans="1:17" x14ac:dyDescent="0.25">
      <c r="A62" s="1" t="s">
        <v>26</v>
      </c>
      <c r="B62" s="30">
        <f t="shared" si="0"/>
        <v>1.0680000000000001</v>
      </c>
      <c r="E62" s="289" t="s">
        <v>26</v>
      </c>
      <c r="F62" s="289"/>
      <c r="G62" s="30">
        <f t="shared" si="1"/>
        <v>1.0680000000000001</v>
      </c>
      <c r="J62" s="289" t="s">
        <v>26</v>
      </c>
      <c r="K62" s="289"/>
      <c r="L62" s="30">
        <f t="shared" si="2"/>
        <v>1.0680000000000001</v>
      </c>
      <c r="N62" s="289" t="s">
        <v>26</v>
      </c>
      <c r="O62" s="289"/>
      <c r="P62" s="30">
        <f t="shared" si="3"/>
        <v>1.0680000000000001</v>
      </c>
    </row>
    <row r="63" spans="1:17" x14ac:dyDescent="0.25">
      <c r="A63" s="274" t="s">
        <v>90</v>
      </c>
      <c r="B63" s="275"/>
      <c r="E63" s="280" t="s">
        <v>90</v>
      </c>
      <c r="F63" s="280"/>
      <c r="G63" s="280"/>
      <c r="J63" s="280" t="s">
        <v>90</v>
      </c>
      <c r="K63" s="280"/>
      <c r="L63" s="280"/>
      <c r="N63" s="280" t="s">
        <v>90</v>
      </c>
      <c r="O63" s="280"/>
      <c r="P63" s="280"/>
    </row>
    <row r="64" spans="1:17" x14ac:dyDescent="0.25">
      <c r="A64" s="1" t="s">
        <v>23</v>
      </c>
      <c r="B64" s="28">
        <f>O28</f>
        <v>864</v>
      </c>
      <c r="E64" s="289" t="s">
        <v>23</v>
      </c>
      <c r="F64" s="289"/>
      <c r="G64" s="28">
        <f>O28</f>
        <v>864</v>
      </c>
      <c r="J64" s="289" t="s">
        <v>23</v>
      </c>
      <c r="K64" s="289"/>
      <c r="L64" s="28">
        <f t="shared" ref="L64:L70" si="4">O28</f>
        <v>864</v>
      </c>
      <c r="N64" s="289" t="s">
        <v>23</v>
      </c>
      <c r="O64" s="289"/>
      <c r="P64" s="28">
        <f>O28</f>
        <v>864</v>
      </c>
    </row>
    <row r="65" spans="1:16" x14ac:dyDescent="0.25">
      <c r="A65" s="1" t="s">
        <v>43</v>
      </c>
      <c r="B65" s="42">
        <f>O29</f>
        <v>26</v>
      </c>
      <c r="E65" s="289" t="s">
        <v>43</v>
      </c>
      <c r="F65" s="289"/>
      <c r="G65" s="42">
        <f>O29</f>
        <v>26</v>
      </c>
      <c r="J65" s="289" t="s">
        <v>43</v>
      </c>
      <c r="K65" s="289"/>
      <c r="L65" s="42">
        <f t="shared" si="4"/>
        <v>26</v>
      </c>
      <c r="N65" s="289" t="s">
        <v>43</v>
      </c>
      <c r="O65" s="289"/>
      <c r="P65" s="42">
        <f>O29</f>
        <v>26</v>
      </c>
    </row>
    <row r="66" spans="1:16" x14ac:dyDescent="0.25">
      <c r="A66" s="1" t="s">
        <v>313</v>
      </c>
      <c r="B66" s="42">
        <f>O30</f>
        <v>18</v>
      </c>
      <c r="E66" s="289" t="s">
        <v>313</v>
      </c>
      <c r="F66" s="289"/>
      <c r="G66" s="42">
        <f>O30</f>
        <v>18</v>
      </c>
      <c r="J66" s="289" t="s">
        <v>313</v>
      </c>
      <c r="K66" s="289"/>
      <c r="L66" s="42">
        <f t="shared" si="4"/>
        <v>18</v>
      </c>
      <c r="N66" s="289" t="s">
        <v>313</v>
      </c>
      <c r="O66" s="289"/>
      <c r="P66" s="42">
        <f>O30</f>
        <v>18</v>
      </c>
    </row>
    <row r="67" spans="1:16" x14ac:dyDescent="0.25">
      <c r="A67" s="1" t="s">
        <v>38</v>
      </c>
      <c r="B67" s="31">
        <f>31</f>
        <v>31</v>
      </c>
      <c r="E67" s="289" t="s">
        <v>38</v>
      </c>
      <c r="F67" s="289"/>
      <c r="G67" s="31">
        <f>31</f>
        <v>31</v>
      </c>
      <c r="J67" s="289" t="s">
        <v>38</v>
      </c>
      <c r="K67" s="289"/>
      <c r="L67" s="31">
        <f t="shared" si="4"/>
        <v>468</v>
      </c>
      <c r="N67" s="289" t="s">
        <v>38</v>
      </c>
      <c r="O67" s="289"/>
      <c r="P67" s="31">
        <f>31</f>
        <v>31</v>
      </c>
    </row>
    <row r="68" spans="1:16" x14ac:dyDescent="0.25">
      <c r="A68" s="1" t="s">
        <v>25</v>
      </c>
      <c r="B68" s="27">
        <f>O32</f>
        <v>12546</v>
      </c>
      <c r="E68" s="289" t="s">
        <v>25</v>
      </c>
      <c r="F68" s="289"/>
      <c r="G68" s="27">
        <f>O32</f>
        <v>12546</v>
      </c>
      <c r="J68" s="289" t="s">
        <v>25</v>
      </c>
      <c r="K68" s="289"/>
      <c r="L68" s="27">
        <f t="shared" si="4"/>
        <v>12546</v>
      </c>
      <c r="N68" s="289" t="s">
        <v>25</v>
      </c>
      <c r="O68" s="289"/>
      <c r="P68" s="27">
        <f>O32</f>
        <v>12546</v>
      </c>
    </row>
    <row r="69" spans="1:16" x14ac:dyDescent="0.25">
      <c r="A69" s="1" t="s">
        <v>26</v>
      </c>
      <c r="B69" s="30">
        <f>O33</f>
        <v>24.53</v>
      </c>
      <c r="E69" s="289" t="s">
        <v>26</v>
      </c>
      <c r="F69" s="289"/>
      <c r="G69" s="30">
        <f>O33</f>
        <v>24.53</v>
      </c>
      <c r="J69" s="289" t="s">
        <v>26</v>
      </c>
      <c r="K69" s="289"/>
      <c r="L69" s="30">
        <f t="shared" si="4"/>
        <v>24.53</v>
      </c>
      <c r="N69" s="289" t="s">
        <v>26</v>
      </c>
      <c r="O69" s="289"/>
      <c r="P69" s="30">
        <f>O33</f>
        <v>24.53</v>
      </c>
    </row>
    <row r="70" spans="1:16" x14ac:dyDescent="0.25">
      <c r="A70" s="1" t="s">
        <v>40</v>
      </c>
      <c r="B70" s="12">
        <f>O34</f>
        <v>85.173611111111114</v>
      </c>
      <c r="E70" s="289" t="s">
        <v>40</v>
      </c>
      <c r="F70" s="289"/>
      <c r="G70" s="12">
        <f>O34</f>
        <v>85.173611111111114</v>
      </c>
      <c r="J70" s="289" t="s">
        <v>40</v>
      </c>
      <c r="K70" s="289"/>
      <c r="L70" s="12">
        <f t="shared" si="4"/>
        <v>85.173611111111114</v>
      </c>
      <c r="N70" s="289" t="s">
        <v>40</v>
      </c>
      <c r="O70" s="289"/>
      <c r="P70" s="12">
        <f>O34</f>
        <v>85.173611111111114</v>
      </c>
    </row>
    <row r="73" spans="1:16" x14ac:dyDescent="0.25">
      <c r="F73" s="283" t="s">
        <v>316</v>
      </c>
      <c r="G73" s="283"/>
      <c r="H73" s="296">
        <f>SUM(L52,P52,G52,B52)</f>
        <v>23328</v>
      </c>
      <c r="I73" s="296"/>
    </row>
  </sheetData>
  <mergeCells count="82">
    <mergeCell ref="H73:I73"/>
    <mergeCell ref="F73:G73"/>
    <mergeCell ref="J56:L56"/>
    <mergeCell ref="J63:L63"/>
    <mergeCell ref="J64:K64"/>
    <mergeCell ref="J65:K65"/>
    <mergeCell ref="J66:K66"/>
    <mergeCell ref="E69:F69"/>
    <mergeCell ref="E70:F70"/>
    <mergeCell ref="E60:F60"/>
    <mergeCell ref="E61:F61"/>
    <mergeCell ref="E62:F62"/>
    <mergeCell ref="E63:G63"/>
    <mergeCell ref="N70:O70"/>
    <mergeCell ref="J57:K57"/>
    <mergeCell ref="J58:K58"/>
    <mergeCell ref="J59:K59"/>
    <mergeCell ref="J60:K60"/>
    <mergeCell ref="J61:K61"/>
    <mergeCell ref="J62:K62"/>
    <mergeCell ref="J67:K67"/>
    <mergeCell ref="J68:K68"/>
    <mergeCell ref="J69:K69"/>
    <mergeCell ref="J70:K70"/>
    <mergeCell ref="N61:O61"/>
    <mergeCell ref="N62:O62"/>
    <mergeCell ref="N63:P63"/>
    <mergeCell ref="N64:O64"/>
    <mergeCell ref="N65:O65"/>
    <mergeCell ref="N68:O68"/>
    <mergeCell ref="N69:O69"/>
    <mergeCell ref="E64:F64"/>
    <mergeCell ref="E65:F65"/>
    <mergeCell ref="E66:F66"/>
    <mergeCell ref="E67:F67"/>
    <mergeCell ref="E68:F68"/>
    <mergeCell ref="A49:B49"/>
    <mergeCell ref="E49:G49"/>
    <mergeCell ref="E50:F50"/>
    <mergeCell ref="N66:O66"/>
    <mergeCell ref="N67:O67"/>
    <mergeCell ref="N56:P56"/>
    <mergeCell ref="N57:O57"/>
    <mergeCell ref="N58:O58"/>
    <mergeCell ref="N59:O59"/>
    <mergeCell ref="N60:O60"/>
    <mergeCell ref="A56:B56"/>
    <mergeCell ref="A63:B63"/>
    <mergeCell ref="E56:G56"/>
    <mergeCell ref="E57:F57"/>
    <mergeCell ref="E58:F58"/>
    <mergeCell ref="E59:F59"/>
    <mergeCell ref="H46:L46"/>
    <mergeCell ref="E37:G37"/>
    <mergeCell ref="A37:B37"/>
    <mergeCell ref="A1:B1"/>
    <mergeCell ref="E5:J5"/>
    <mergeCell ref="N5:O5"/>
    <mergeCell ref="A28:B28"/>
    <mergeCell ref="E11:G11"/>
    <mergeCell ref="A14:B14"/>
    <mergeCell ref="E27:J27"/>
    <mergeCell ref="N27:O27"/>
    <mergeCell ref="E51:F51"/>
    <mergeCell ref="E52:F52"/>
    <mergeCell ref="E55:F55"/>
    <mergeCell ref="N55:O55"/>
    <mergeCell ref="E53:F53"/>
    <mergeCell ref="N53:O53"/>
    <mergeCell ref="N54:O54"/>
    <mergeCell ref="J53:K53"/>
    <mergeCell ref="J54:K54"/>
    <mergeCell ref="J55:K55"/>
    <mergeCell ref="E54:F54"/>
    <mergeCell ref="J49:L49"/>
    <mergeCell ref="J50:K50"/>
    <mergeCell ref="J51:K51"/>
    <mergeCell ref="J52:K52"/>
    <mergeCell ref="N51:O51"/>
    <mergeCell ref="N52:O52"/>
    <mergeCell ref="N49:O49"/>
    <mergeCell ref="N50:O50"/>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39997558519241921"/>
  </sheetPr>
  <dimension ref="D1:AO178"/>
  <sheetViews>
    <sheetView topLeftCell="A37" zoomScale="78" zoomScaleNormal="78" workbookViewId="0">
      <selection activeCell="B7" sqref="B7"/>
    </sheetView>
  </sheetViews>
  <sheetFormatPr baseColWidth="10" defaultColWidth="10.7109375" defaultRowHeight="15" x14ac:dyDescent="0.25"/>
  <cols>
    <col min="1" max="1" width="11.42578125" customWidth="1"/>
    <col min="2" max="2" width="15" customWidth="1"/>
    <col min="4" max="4" width="12.7109375" customWidth="1"/>
    <col min="5" max="5" width="14.7109375" customWidth="1"/>
    <col min="6" max="6" width="14.5703125" customWidth="1"/>
    <col min="7" max="7" width="17.140625" customWidth="1"/>
    <col min="8" max="8" width="15" customWidth="1"/>
    <col min="9" max="9" width="19.5703125" customWidth="1"/>
    <col min="10" max="10" width="18.140625" customWidth="1"/>
    <col min="11" max="11" width="27.42578125" customWidth="1"/>
    <col min="13" max="13" width="12.85546875" customWidth="1"/>
    <col min="14" max="14" width="8.28515625" customWidth="1"/>
    <col min="15" max="15" width="12.28515625" bestFit="1" customWidth="1"/>
    <col min="17" max="17" width="12.28515625" bestFit="1" customWidth="1"/>
    <col min="18" max="18" width="11.7109375" customWidth="1"/>
    <col min="19" max="19" width="12.28515625" bestFit="1" customWidth="1"/>
    <col min="21" max="21" width="13.28515625" customWidth="1"/>
    <col min="23" max="23" width="14.42578125" customWidth="1"/>
    <col min="24" max="24" width="12.42578125" customWidth="1"/>
    <col min="25" max="25" width="14.7109375" style="17" customWidth="1"/>
    <col min="26" max="26" width="12.7109375" customWidth="1"/>
    <col min="27" max="27" width="13.28515625" customWidth="1"/>
    <col min="28" max="28" width="17.28515625" customWidth="1"/>
    <col min="29" max="29" width="23.28515625" customWidth="1"/>
    <col min="30" max="30" width="13.7109375" customWidth="1"/>
    <col min="32" max="32" width="13.42578125" customWidth="1"/>
    <col min="34" max="34" width="12.5703125" customWidth="1"/>
    <col min="35" max="35" width="11.28515625" customWidth="1"/>
    <col min="38" max="38" width="13.28515625" customWidth="1"/>
  </cols>
  <sheetData>
    <row r="1" spans="4:38" x14ac:dyDescent="0.25">
      <c r="D1" s="283" t="s">
        <v>107</v>
      </c>
      <c r="E1" s="283"/>
      <c r="F1" s="283"/>
      <c r="G1" s="283"/>
      <c r="H1" s="283"/>
      <c r="I1" s="283"/>
      <c r="J1" s="283"/>
      <c r="K1" s="283"/>
    </row>
    <row r="2" spans="4:38" x14ac:dyDescent="0.25">
      <c r="D2" s="283" t="s">
        <v>110</v>
      </c>
      <c r="E2" s="283"/>
      <c r="F2" s="22" t="s">
        <v>111</v>
      </c>
      <c r="G2" s="22" t="s">
        <v>112</v>
      </c>
      <c r="H2" s="22" t="s">
        <v>113</v>
      </c>
      <c r="I2" s="22" t="s">
        <v>116</v>
      </c>
      <c r="J2" s="22" t="s">
        <v>115</v>
      </c>
      <c r="K2" s="46" t="s">
        <v>117</v>
      </c>
      <c r="X2" s="15"/>
      <c r="Y2" s="15"/>
      <c r="Z2" s="15"/>
      <c r="AB2" s="15" t="s">
        <v>148</v>
      </c>
    </row>
    <row r="3" spans="4:38" x14ac:dyDescent="0.25">
      <c r="D3" s="256" t="s">
        <v>109</v>
      </c>
      <c r="E3" s="258"/>
      <c r="F3" s="22" t="s">
        <v>114</v>
      </c>
      <c r="G3" s="45">
        <v>45072</v>
      </c>
      <c r="H3" s="22" t="s">
        <v>114</v>
      </c>
      <c r="I3" s="22" t="s">
        <v>78</v>
      </c>
      <c r="J3" s="22" t="s">
        <v>78</v>
      </c>
      <c r="K3" s="22" t="s">
        <v>114</v>
      </c>
      <c r="Y3"/>
    </row>
    <row r="4" spans="4:38" x14ac:dyDescent="0.25">
      <c r="D4" s="256" t="s">
        <v>108</v>
      </c>
      <c r="E4" s="258"/>
      <c r="F4" s="22" t="s">
        <v>118</v>
      </c>
      <c r="G4" s="45">
        <f>G3</f>
        <v>45072</v>
      </c>
      <c r="H4" s="45">
        <f>+G4+1</f>
        <v>45073</v>
      </c>
      <c r="I4" s="22" t="s">
        <v>78</v>
      </c>
      <c r="J4" s="22" t="s">
        <v>78</v>
      </c>
      <c r="K4" s="22" t="s">
        <v>114</v>
      </c>
      <c r="Y4"/>
    </row>
    <row r="5" spans="4:38" x14ac:dyDescent="0.25">
      <c r="D5" s="256" t="s">
        <v>119</v>
      </c>
      <c r="E5" s="258"/>
      <c r="F5" s="22" t="s">
        <v>121</v>
      </c>
      <c r="G5" s="45">
        <f>H4</f>
        <v>45073</v>
      </c>
      <c r="H5" s="45">
        <f>+G5+2</f>
        <v>45075</v>
      </c>
      <c r="I5" s="22" t="s">
        <v>78</v>
      </c>
      <c r="J5" s="22" t="s">
        <v>122</v>
      </c>
      <c r="K5" s="22" t="s">
        <v>123</v>
      </c>
      <c r="Y5"/>
    </row>
    <row r="6" spans="4:38" x14ac:dyDescent="0.25">
      <c r="D6" s="256" t="s">
        <v>120</v>
      </c>
      <c r="E6" s="258"/>
      <c r="F6" s="22" t="s">
        <v>124</v>
      </c>
      <c r="G6" s="45">
        <f>H5</f>
        <v>45075</v>
      </c>
      <c r="H6" s="45">
        <f>+G6+5</f>
        <v>45080</v>
      </c>
      <c r="I6" s="22" t="s">
        <v>79</v>
      </c>
      <c r="J6" s="22" t="s">
        <v>125</v>
      </c>
      <c r="K6" s="22" t="s">
        <v>126</v>
      </c>
      <c r="Y6"/>
    </row>
    <row r="7" spans="4:38" x14ac:dyDescent="0.25">
      <c r="D7" s="256" t="s">
        <v>127</v>
      </c>
      <c r="E7" s="258"/>
      <c r="F7" s="22" t="s">
        <v>128</v>
      </c>
      <c r="G7" s="45">
        <v>45081</v>
      </c>
      <c r="H7" s="45">
        <f>+G7+13</f>
        <v>45094</v>
      </c>
      <c r="I7" s="22" t="s">
        <v>79</v>
      </c>
      <c r="J7" s="22" t="s">
        <v>80</v>
      </c>
      <c r="K7" s="22" t="s">
        <v>77</v>
      </c>
      <c r="Y7"/>
    </row>
    <row r="8" spans="4:38" x14ac:dyDescent="0.25">
      <c r="D8" s="256" t="s">
        <v>129</v>
      </c>
      <c r="E8" s="258"/>
      <c r="F8" s="22" t="s">
        <v>130</v>
      </c>
      <c r="G8" s="45">
        <f>H7</f>
        <v>45094</v>
      </c>
      <c r="H8" s="45">
        <f>+G8+3</f>
        <v>45097</v>
      </c>
      <c r="I8" s="22" t="s">
        <v>80</v>
      </c>
      <c r="J8" s="22" t="s">
        <v>80</v>
      </c>
      <c r="K8" s="22" t="s">
        <v>131</v>
      </c>
      <c r="Y8"/>
      <c r="AK8" s="142">
        <v>4196.6000000000004</v>
      </c>
      <c r="AL8" s="137"/>
    </row>
    <row r="9" spans="4:38" x14ac:dyDescent="0.25">
      <c r="D9" s="256" t="s">
        <v>132</v>
      </c>
      <c r="E9" s="258"/>
      <c r="F9" s="22" t="s">
        <v>133</v>
      </c>
      <c r="G9" s="45">
        <f>H8</f>
        <v>45097</v>
      </c>
      <c r="H9" s="45">
        <f>G9</f>
        <v>45097</v>
      </c>
      <c r="I9" s="22" t="s">
        <v>80</v>
      </c>
      <c r="J9" s="22" t="s">
        <v>134</v>
      </c>
      <c r="K9" s="22" t="s">
        <v>114</v>
      </c>
      <c r="O9" s="29"/>
      <c r="Q9" s="298" t="s">
        <v>152</v>
      </c>
      <c r="R9" s="298"/>
      <c r="T9" s="298" t="s">
        <v>153</v>
      </c>
      <c r="U9" s="283"/>
      <c r="W9" s="283" t="s">
        <v>154</v>
      </c>
      <c r="X9" s="283"/>
      <c r="Y9"/>
      <c r="Z9" s="283" t="s">
        <v>155</v>
      </c>
      <c r="AA9" s="283"/>
      <c r="AC9" s="1" t="s">
        <v>156</v>
      </c>
      <c r="AE9" s="283" t="s">
        <v>157</v>
      </c>
      <c r="AF9" s="283"/>
      <c r="AH9" s="283" t="s">
        <v>158</v>
      </c>
      <c r="AI9" s="283"/>
      <c r="AK9" s="283" t="s">
        <v>159</v>
      </c>
      <c r="AL9" s="283"/>
    </row>
    <row r="10" spans="4:38" x14ac:dyDescent="0.25">
      <c r="D10" s="256" t="s">
        <v>135</v>
      </c>
      <c r="E10" s="258"/>
      <c r="F10" s="22" t="s">
        <v>118</v>
      </c>
      <c r="G10" s="45">
        <f>H9</f>
        <v>45097</v>
      </c>
      <c r="H10" s="45">
        <f>+G10+1</f>
        <v>45098</v>
      </c>
      <c r="I10" s="22" t="s">
        <v>134</v>
      </c>
      <c r="J10" s="22" t="s">
        <v>134</v>
      </c>
      <c r="K10" s="22" t="s">
        <v>138</v>
      </c>
      <c r="Y10"/>
    </row>
    <row r="11" spans="4:38" x14ac:dyDescent="0.25">
      <c r="D11" s="256" t="s">
        <v>136</v>
      </c>
      <c r="E11" s="258"/>
      <c r="F11" s="22" t="s">
        <v>137</v>
      </c>
      <c r="G11" s="45">
        <f>H10</f>
        <v>45098</v>
      </c>
      <c r="H11" s="45">
        <f>+G11+8</f>
        <v>45106</v>
      </c>
      <c r="I11" s="22" t="s">
        <v>134</v>
      </c>
      <c r="J11" s="22" t="s">
        <v>78</v>
      </c>
      <c r="K11" s="22" t="s">
        <v>114</v>
      </c>
      <c r="Y11"/>
    </row>
    <row r="12" spans="4:38" x14ac:dyDescent="0.25">
      <c r="D12" s="283" t="s">
        <v>184</v>
      </c>
      <c r="E12" s="283"/>
      <c r="F12" s="246">
        <v>4169.6000000000004</v>
      </c>
      <c r="G12" s="136"/>
      <c r="H12" s="47"/>
      <c r="I12" s="47"/>
      <c r="J12" s="47"/>
      <c r="K12" s="47"/>
      <c r="L12" s="47"/>
      <c r="M12" s="47"/>
      <c r="Y12"/>
    </row>
    <row r="13" spans="4:38" x14ac:dyDescent="0.25">
      <c r="F13" s="299"/>
      <c r="G13" s="299"/>
      <c r="H13" s="47"/>
      <c r="I13" s="47"/>
      <c r="J13" s="47"/>
      <c r="K13" s="47"/>
      <c r="L13" s="47"/>
      <c r="M13" s="47"/>
      <c r="Y13"/>
    </row>
    <row r="14" spans="4:38" x14ac:dyDescent="0.25">
      <c r="F14" s="299"/>
      <c r="G14" s="299"/>
      <c r="H14" s="47"/>
      <c r="I14" s="47"/>
      <c r="J14" s="47"/>
      <c r="K14" s="47"/>
      <c r="L14" s="47"/>
      <c r="M14" s="47"/>
    </row>
    <row r="15" spans="4:38" x14ac:dyDescent="0.25">
      <c r="F15" s="299"/>
      <c r="G15" s="299"/>
      <c r="H15" s="47"/>
      <c r="I15" s="47"/>
      <c r="J15" s="47"/>
      <c r="K15" s="47"/>
      <c r="L15" s="47"/>
      <c r="M15" s="47"/>
      <c r="Q15" s="297" t="s">
        <v>185</v>
      </c>
      <c r="R15" s="297"/>
      <c r="T15" s="297" t="s">
        <v>188</v>
      </c>
      <c r="U15" s="297"/>
      <c r="W15" s="297" t="s">
        <v>189</v>
      </c>
      <c r="X15" s="297"/>
      <c r="Y15"/>
      <c r="Z15" s="297" t="s">
        <v>190</v>
      </c>
      <c r="AA15" s="297"/>
      <c r="AC15" t="s">
        <v>192</v>
      </c>
      <c r="AE15" s="297" t="s">
        <v>195</v>
      </c>
      <c r="AF15" s="297"/>
      <c r="AH15" s="297" t="s">
        <v>135</v>
      </c>
      <c r="AI15" s="297"/>
      <c r="AK15" s="297" t="s">
        <v>136</v>
      </c>
      <c r="AL15" s="297"/>
    </row>
    <row r="16" spans="4:38" x14ac:dyDescent="0.25">
      <c r="F16" s="299"/>
      <c r="G16" s="299"/>
      <c r="H16" s="47"/>
      <c r="I16" s="47"/>
      <c r="J16" s="47"/>
      <c r="K16" s="47"/>
      <c r="L16" s="47"/>
      <c r="M16" s="47"/>
      <c r="Q16" s="297" t="s">
        <v>186</v>
      </c>
      <c r="R16" s="297"/>
      <c r="T16" s="297" t="s">
        <v>187</v>
      </c>
      <c r="U16" s="297"/>
      <c r="W16" s="297" t="s">
        <v>120</v>
      </c>
      <c r="X16" s="297"/>
      <c r="Y16"/>
      <c r="Z16" s="297" t="s">
        <v>191</v>
      </c>
      <c r="AA16" s="297"/>
      <c r="AC16" s="50" t="s">
        <v>193</v>
      </c>
      <c r="AE16" s="297" t="s">
        <v>194</v>
      </c>
      <c r="AF16" s="297"/>
      <c r="AH16" s="297" t="s">
        <v>196</v>
      </c>
      <c r="AI16" s="297"/>
    </row>
    <row r="17" spans="6:39" x14ac:dyDescent="0.25">
      <c r="F17" s="299"/>
      <c r="G17" s="299"/>
      <c r="H17" s="47"/>
      <c r="I17" s="47"/>
      <c r="J17" s="47"/>
      <c r="K17" s="47"/>
      <c r="L17" s="47"/>
      <c r="M17" s="47"/>
      <c r="Y17"/>
    </row>
    <row r="18" spans="6:39" x14ac:dyDescent="0.25">
      <c r="F18" s="299"/>
      <c r="G18" s="299"/>
      <c r="H18" s="47"/>
      <c r="I18" s="47"/>
      <c r="J18" s="47"/>
      <c r="K18" s="47"/>
      <c r="L18" s="47"/>
      <c r="M18" s="47"/>
      <c r="Y18"/>
    </row>
    <row r="19" spans="6:39" x14ac:dyDescent="0.25">
      <c r="F19" s="299"/>
      <c r="G19" s="299"/>
      <c r="H19" s="47"/>
      <c r="I19" s="47"/>
      <c r="J19" s="47"/>
      <c r="K19" s="47"/>
      <c r="L19" s="47"/>
      <c r="M19" s="47"/>
      <c r="Y19"/>
    </row>
    <row r="20" spans="6:39" x14ac:dyDescent="0.25">
      <c r="F20" s="299"/>
      <c r="G20" s="299"/>
      <c r="H20" s="47"/>
      <c r="I20" s="47"/>
      <c r="J20" s="47"/>
      <c r="K20" s="47"/>
      <c r="L20" s="47"/>
      <c r="M20" s="47"/>
      <c r="Y20"/>
    </row>
    <row r="21" spans="6:39" x14ac:dyDescent="0.25">
      <c r="I21" s="17"/>
      <c r="Y21"/>
    </row>
    <row r="22" spans="6:39" x14ac:dyDescent="0.25">
      <c r="I22" s="17"/>
      <c r="Y22"/>
    </row>
    <row r="23" spans="6:39" x14ac:dyDescent="0.25">
      <c r="I23" s="17"/>
      <c r="Y23"/>
    </row>
    <row r="24" spans="6:39" x14ac:dyDescent="0.25">
      <c r="Y24"/>
    </row>
    <row r="25" spans="6:39" x14ac:dyDescent="0.25">
      <c r="Y25"/>
    </row>
    <row r="26" spans="6:39" x14ac:dyDescent="0.25">
      <c r="O26" s="297" t="s">
        <v>145</v>
      </c>
      <c r="P26" s="297"/>
      <c r="Q26" s="297"/>
      <c r="Y26" s="297" t="s">
        <v>146</v>
      </c>
      <c r="Z26" s="297"/>
      <c r="AA26" s="297"/>
      <c r="AF26" s="297" t="s">
        <v>147</v>
      </c>
      <c r="AG26" s="297"/>
      <c r="AH26" s="297"/>
      <c r="AM26" s="23" t="s">
        <v>184</v>
      </c>
    </row>
    <row r="27" spans="6:39" x14ac:dyDescent="0.25">
      <c r="Y27"/>
    </row>
    <row r="28" spans="6:39" x14ac:dyDescent="0.25">
      <c r="Y28"/>
    </row>
    <row r="29" spans="6:39" x14ac:dyDescent="0.25">
      <c r="Y29"/>
    </row>
    <row r="30" spans="6:39" x14ac:dyDescent="0.25">
      <c r="Y30"/>
    </row>
    <row r="31" spans="6:39" x14ac:dyDescent="0.25">
      <c r="Y31"/>
    </row>
    <row r="32" spans="6:39" x14ac:dyDescent="0.25">
      <c r="Y32"/>
    </row>
    <row r="33" spans="7:25" x14ac:dyDescent="0.25">
      <c r="Y33"/>
    </row>
    <row r="34" spans="7:25" x14ac:dyDescent="0.25">
      <c r="Y34"/>
    </row>
    <row r="35" spans="7:25" x14ac:dyDescent="0.25">
      <c r="Y35"/>
    </row>
    <row r="36" spans="7:25" x14ac:dyDescent="0.25">
      <c r="Y36"/>
    </row>
    <row r="37" spans="7:25" x14ac:dyDescent="0.25">
      <c r="Y37"/>
    </row>
    <row r="38" spans="7:25" x14ac:dyDescent="0.25">
      <c r="Y38"/>
    </row>
    <row r="39" spans="7:25" x14ac:dyDescent="0.25">
      <c r="Y39"/>
    </row>
    <row r="40" spans="7:25" x14ac:dyDescent="0.25">
      <c r="Y40"/>
    </row>
    <row r="41" spans="7:25" x14ac:dyDescent="0.25">
      <c r="Y41"/>
    </row>
    <row r="42" spans="7:25" x14ac:dyDescent="0.25">
      <c r="Y42"/>
    </row>
    <row r="43" spans="7:25" x14ac:dyDescent="0.25">
      <c r="G43" s="17"/>
      <c r="Y43"/>
    </row>
    <row r="44" spans="7:25" x14ac:dyDescent="0.25">
      <c r="Y44"/>
    </row>
    <row r="45" spans="7:25" x14ac:dyDescent="0.25">
      <c r="Y45"/>
    </row>
    <row r="46" spans="7:25" x14ac:dyDescent="0.25">
      <c r="Y46"/>
    </row>
    <row r="47" spans="7:25" x14ac:dyDescent="0.25">
      <c r="Y47"/>
    </row>
    <row r="48" spans="7:25" x14ac:dyDescent="0.25">
      <c r="Y48"/>
    </row>
    <row r="49" spans="4:28" x14ac:dyDescent="0.25">
      <c r="Y49"/>
    </row>
    <row r="50" spans="4:28" x14ac:dyDescent="0.25">
      <c r="Y50"/>
    </row>
    <row r="51" spans="4:28" x14ac:dyDescent="0.25">
      <c r="Y51"/>
    </row>
    <row r="52" spans="4:28" x14ac:dyDescent="0.25">
      <c r="Y52"/>
    </row>
    <row r="53" spans="4:28" x14ac:dyDescent="0.25">
      <c r="Y53"/>
    </row>
    <row r="54" spans="4:28" x14ac:dyDescent="0.25">
      <c r="Y54"/>
    </row>
    <row r="55" spans="4:28" x14ac:dyDescent="0.25">
      <c r="Y55"/>
    </row>
    <row r="59" spans="4:28" x14ac:dyDescent="0.25">
      <c r="Y59"/>
    </row>
    <row r="61" spans="4:28" x14ac:dyDescent="0.25">
      <c r="D61" s="283" t="s">
        <v>139</v>
      </c>
      <c r="E61" s="283"/>
      <c r="F61" s="283"/>
      <c r="G61" s="283"/>
      <c r="H61" s="283"/>
      <c r="I61" s="283"/>
      <c r="J61" s="283"/>
      <c r="K61" s="283"/>
      <c r="X61" s="15"/>
      <c r="Y61" s="15"/>
      <c r="Z61" s="15"/>
      <c r="AB61" s="15" t="s">
        <v>149</v>
      </c>
    </row>
    <row r="62" spans="4:28" x14ac:dyDescent="0.25">
      <c r="D62" s="283" t="s">
        <v>110</v>
      </c>
      <c r="E62" s="283"/>
      <c r="F62" s="22" t="s">
        <v>111</v>
      </c>
      <c r="G62" s="22" t="s">
        <v>112</v>
      </c>
      <c r="H62" s="22" t="s">
        <v>113</v>
      </c>
      <c r="I62" s="22" t="s">
        <v>116</v>
      </c>
      <c r="J62" s="22" t="s">
        <v>115</v>
      </c>
      <c r="K62" s="46" t="s">
        <v>117</v>
      </c>
    </row>
    <row r="63" spans="4:28" x14ac:dyDescent="0.25">
      <c r="D63" s="283" t="s">
        <v>109</v>
      </c>
      <c r="E63" s="283"/>
      <c r="F63" s="22" t="s">
        <v>114</v>
      </c>
      <c r="G63" s="45">
        <v>45086</v>
      </c>
      <c r="H63" s="22" t="s">
        <v>114</v>
      </c>
      <c r="I63" s="22" t="s">
        <v>78</v>
      </c>
      <c r="J63" s="22" t="s">
        <v>78</v>
      </c>
      <c r="K63" s="22" t="s">
        <v>114</v>
      </c>
    </row>
    <row r="64" spans="4:28" x14ac:dyDescent="0.25">
      <c r="D64" s="283" t="s">
        <v>108</v>
      </c>
      <c r="E64" s="283"/>
      <c r="F64" s="22" t="s">
        <v>118</v>
      </c>
      <c r="G64" s="45">
        <f>G63</f>
        <v>45086</v>
      </c>
      <c r="H64" s="45">
        <f>+G64+1</f>
        <v>45087</v>
      </c>
      <c r="I64" s="22" t="s">
        <v>78</v>
      </c>
      <c r="J64" s="22" t="s">
        <v>78</v>
      </c>
      <c r="K64" s="22" t="s">
        <v>114</v>
      </c>
    </row>
    <row r="65" spans="4:40" x14ac:dyDescent="0.25">
      <c r="D65" s="256" t="s">
        <v>119</v>
      </c>
      <c r="E65" s="258"/>
      <c r="F65" s="22" t="s">
        <v>121</v>
      </c>
      <c r="G65" s="45">
        <f>H64</f>
        <v>45087</v>
      </c>
      <c r="H65" s="45">
        <f>+G65+2</f>
        <v>45089</v>
      </c>
      <c r="I65" s="22" t="s">
        <v>78</v>
      </c>
      <c r="J65" s="22" t="s">
        <v>122</v>
      </c>
      <c r="K65" s="22" t="s">
        <v>123</v>
      </c>
      <c r="AK65" s="142">
        <f>F72</f>
        <v>4154.0600000000004</v>
      </c>
      <c r="AL65" s="136"/>
    </row>
    <row r="66" spans="4:40" x14ac:dyDescent="0.25">
      <c r="D66" s="256" t="s">
        <v>120</v>
      </c>
      <c r="E66" s="258"/>
      <c r="F66" s="22" t="s">
        <v>124</v>
      </c>
      <c r="G66" s="45">
        <f>H65</f>
        <v>45089</v>
      </c>
      <c r="H66" s="45">
        <f>+G66+5</f>
        <v>45094</v>
      </c>
      <c r="I66" s="22" t="s">
        <v>79</v>
      </c>
      <c r="J66" s="22" t="s">
        <v>125</v>
      </c>
      <c r="K66" s="22" t="s">
        <v>126</v>
      </c>
      <c r="Q66" s="298" t="s">
        <v>160</v>
      </c>
      <c r="R66" s="298"/>
      <c r="T66" s="298" t="s">
        <v>161</v>
      </c>
      <c r="U66" s="283"/>
      <c r="W66" s="283" t="s">
        <v>162</v>
      </c>
      <c r="X66" s="283"/>
      <c r="Y66"/>
      <c r="Z66" s="283" t="s">
        <v>163</v>
      </c>
      <c r="AA66" s="283"/>
      <c r="AC66" s="1" t="s">
        <v>164</v>
      </c>
      <c r="AE66" s="283" t="s">
        <v>165</v>
      </c>
      <c r="AF66" s="283"/>
      <c r="AH66" s="283" t="s">
        <v>166</v>
      </c>
      <c r="AI66" s="283"/>
      <c r="AK66" s="283" t="s">
        <v>167</v>
      </c>
      <c r="AL66" s="283"/>
    </row>
    <row r="67" spans="4:40" x14ac:dyDescent="0.25">
      <c r="D67" s="256" t="s">
        <v>127</v>
      </c>
      <c r="E67" s="258"/>
      <c r="F67" s="22" t="s">
        <v>144</v>
      </c>
      <c r="G67" s="45">
        <v>45095</v>
      </c>
      <c r="H67" s="45">
        <f>+G67+11</f>
        <v>45106</v>
      </c>
      <c r="I67" s="22" t="s">
        <v>79</v>
      </c>
      <c r="J67" s="22" t="s">
        <v>80</v>
      </c>
      <c r="K67" s="22" t="s">
        <v>77</v>
      </c>
    </row>
    <row r="68" spans="4:40" x14ac:dyDescent="0.25">
      <c r="D68" s="256" t="s">
        <v>129</v>
      </c>
      <c r="E68" s="258"/>
      <c r="F68" s="22" t="s">
        <v>130</v>
      </c>
      <c r="G68" s="45">
        <f>H67</f>
        <v>45106</v>
      </c>
      <c r="H68" s="45">
        <f>+G68+3</f>
        <v>45109</v>
      </c>
      <c r="I68" s="22" t="s">
        <v>80</v>
      </c>
      <c r="J68" s="22" t="s">
        <v>80</v>
      </c>
      <c r="K68" s="22" t="s">
        <v>131</v>
      </c>
    </row>
    <row r="69" spans="4:40" x14ac:dyDescent="0.25">
      <c r="D69" s="256" t="s">
        <v>132</v>
      </c>
      <c r="E69" s="258"/>
      <c r="F69" s="22" t="s">
        <v>133</v>
      </c>
      <c r="G69" s="45">
        <f>H68</f>
        <v>45109</v>
      </c>
      <c r="H69" s="45">
        <f>G69</f>
        <v>45109</v>
      </c>
      <c r="I69" s="22" t="s">
        <v>80</v>
      </c>
      <c r="J69" s="22" t="s">
        <v>134</v>
      </c>
      <c r="K69" s="22" t="s">
        <v>114</v>
      </c>
    </row>
    <row r="70" spans="4:40" x14ac:dyDescent="0.25">
      <c r="D70" s="256" t="s">
        <v>135</v>
      </c>
      <c r="E70" s="258"/>
      <c r="F70" s="22" t="s">
        <v>118</v>
      </c>
      <c r="G70" s="45">
        <f>H69</f>
        <v>45109</v>
      </c>
      <c r="H70" s="45">
        <f>+G70+1</f>
        <v>45110</v>
      </c>
      <c r="I70" s="22" t="s">
        <v>134</v>
      </c>
      <c r="J70" s="22" t="s">
        <v>134</v>
      </c>
      <c r="K70" s="22" t="s">
        <v>138</v>
      </c>
    </row>
    <row r="71" spans="4:40" x14ac:dyDescent="0.25">
      <c r="D71" s="283" t="s">
        <v>136</v>
      </c>
      <c r="E71" s="283"/>
      <c r="F71" s="22" t="s">
        <v>137</v>
      </c>
      <c r="G71" s="45">
        <f>H70</f>
        <v>45110</v>
      </c>
      <c r="H71" s="45">
        <f>+G71+8</f>
        <v>45118</v>
      </c>
      <c r="I71" s="22" t="s">
        <v>134</v>
      </c>
      <c r="J71" s="22" t="s">
        <v>78</v>
      </c>
      <c r="K71" s="22" t="s">
        <v>114</v>
      </c>
    </row>
    <row r="72" spans="4:40" x14ac:dyDescent="0.25">
      <c r="D72" s="283" t="s">
        <v>184</v>
      </c>
      <c r="E72" s="283"/>
      <c r="F72" s="233">
        <v>4154.0600000000004</v>
      </c>
    </row>
    <row r="73" spans="4:40" x14ac:dyDescent="0.25">
      <c r="Q73" s="297" t="s">
        <v>185</v>
      </c>
      <c r="R73" s="297"/>
      <c r="T73" s="297" t="s">
        <v>188</v>
      </c>
      <c r="U73" s="297"/>
      <c r="W73" s="297" t="s">
        <v>189</v>
      </c>
      <c r="X73" s="297"/>
      <c r="Y73"/>
      <c r="Z73" s="297" t="s">
        <v>190</v>
      </c>
      <c r="AA73" s="297"/>
      <c r="AC73" t="s">
        <v>192</v>
      </c>
      <c r="AE73" s="297" t="s">
        <v>195</v>
      </c>
      <c r="AF73" s="297"/>
      <c r="AH73" s="297" t="s">
        <v>135</v>
      </c>
      <c r="AI73" s="297"/>
      <c r="AK73" s="297" t="s">
        <v>136</v>
      </c>
      <c r="AL73" s="297"/>
    </row>
    <row r="74" spans="4:40" x14ac:dyDescent="0.25">
      <c r="Q74" s="297" t="s">
        <v>186</v>
      </c>
      <c r="R74" s="297"/>
      <c r="T74" s="297" t="s">
        <v>187</v>
      </c>
      <c r="U74" s="297"/>
      <c r="W74" s="297" t="s">
        <v>120</v>
      </c>
      <c r="X74" s="297"/>
      <c r="Y74"/>
      <c r="Z74" s="297" t="s">
        <v>191</v>
      </c>
      <c r="AA74" s="297"/>
      <c r="AC74" s="50" t="s">
        <v>193</v>
      </c>
      <c r="AE74" s="297" t="s">
        <v>194</v>
      </c>
      <c r="AF74" s="297"/>
      <c r="AH74" s="297" t="s">
        <v>196</v>
      </c>
      <c r="AI74" s="297"/>
    </row>
    <row r="80" spans="4:40" x14ac:dyDescent="0.25">
      <c r="P80" s="297" t="s">
        <v>145</v>
      </c>
      <c r="Q80" s="297"/>
      <c r="R80" s="297"/>
      <c r="Y80"/>
      <c r="Z80" s="297" t="s">
        <v>146</v>
      </c>
      <c r="AA80" s="297"/>
      <c r="AB80" s="297"/>
      <c r="AG80" s="297" t="s">
        <v>147</v>
      </c>
      <c r="AH80" s="297"/>
      <c r="AI80" s="297"/>
      <c r="AN80" s="23" t="s">
        <v>184</v>
      </c>
    </row>
    <row r="111" spans="4:26" x14ac:dyDescent="0.25">
      <c r="D111" s="283" t="s">
        <v>140</v>
      </c>
      <c r="E111" s="283"/>
      <c r="F111" s="283"/>
      <c r="G111" s="283"/>
      <c r="H111" s="283"/>
      <c r="I111" s="283"/>
      <c r="J111" s="283"/>
      <c r="K111" s="283"/>
      <c r="W111" s="297" t="s">
        <v>150</v>
      </c>
      <c r="X111" s="297"/>
      <c r="Y111" s="297"/>
      <c r="Z111" s="297"/>
    </row>
    <row r="112" spans="4:26" x14ac:dyDescent="0.25">
      <c r="D112" s="283" t="s">
        <v>110</v>
      </c>
      <c r="E112" s="283"/>
      <c r="F112" s="22" t="s">
        <v>111</v>
      </c>
      <c r="G112" s="22" t="s">
        <v>112</v>
      </c>
      <c r="H112" s="22" t="s">
        <v>113</v>
      </c>
      <c r="I112" s="22" t="s">
        <v>116</v>
      </c>
      <c r="J112" s="22" t="s">
        <v>115</v>
      </c>
      <c r="K112" s="46" t="s">
        <v>117</v>
      </c>
    </row>
    <row r="113" spans="4:40" x14ac:dyDescent="0.25">
      <c r="D113" s="283" t="s">
        <v>109</v>
      </c>
      <c r="E113" s="283"/>
      <c r="F113" s="22" t="s">
        <v>114</v>
      </c>
      <c r="G113" s="45">
        <v>45093</v>
      </c>
      <c r="H113" s="22" t="s">
        <v>114</v>
      </c>
      <c r="I113" s="22" t="s">
        <v>78</v>
      </c>
      <c r="J113" s="22" t="s">
        <v>78</v>
      </c>
      <c r="K113" s="22" t="s">
        <v>114</v>
      </c>
    </row>
    <row r="114" spans="4:40" x14ac:dyDescent="0.25">
      <c r="D114" s="283" t="s">
        <v>108</v>
      </c>
      <c r="E114" s="283"/>
      <c r="F114" s="22" t="s">
        <v>118</v>
      </c>
      <c r="G114" s="45">
        <f>G113</f>
        <v>45093</v>
      </c>
      <c r="H114" s="45">
        <f>+G114+1</f>
        <v>45094</v>
      </c>
      <c r="I114" s="22" t="s">
        <v>78</v>
      </c>
      <c r="J114" s="22" t="s">
        <v>78</v>
      </c>
      <c r="K114" s="22" t="s">
        <v>114</v>
      </c>
    </row>
    <row r="115" spans="4:40" x14ac:dyDescent="0.25">
      <c r="D115" s="256" t="s">
        <v>119</v>
      </c>
      <c r="E115" s="258"/>
      <c r="F115" s="22" t="s">
        <v>121</v>
      </c>
      <c r="G115" s="45">
        <f>H114</f>
        <v>45094</v>
      </c>
      <c r="H115" s="45">
        <f>+G115+2</f>
        <v>45096</v>
      </c>
      <c r="I115" s="22" t="s">
        <v>78</v>
      </c>
      <c r="J115" s="22" t="s">
        <v>122</v>
      </c>
      <c r="K115" s="22" t="s">
        <v>123</v>
      </c>
      <c r="AK115" s="142">
        <v>3980.2</v>
      </c>
      <c r="AL115" s="136"/>
    </row>
    <row r="116" spans="4:40" x14ac:dyDescent="0.25">
      <c r="D116" s="256" t="s">
        <v>120</v>
      </c>
      <c r="E116" s="258"/>
      <c r="F116" s="22" t="s">
        <v>124</v>
      </c>
      <c r="G116" s="45">
        <f>H115</f>
        <v>45096</v>
      </c>
      <c r="H116" s="45">
        <f>+G116+5</f>
        <v>45101</v>
      </c>
      <c r="I116" s="22" t="s">
        <v>79</v>
      </c>
      <c r="J116" s="22" t="s">
        <v>125</v>
      </c>
      <c r="K116" s="22" t="s">
        <v>126</v>
      </c>
      <c r="Q116" s="298" t="s">
        <v>174</v>
      </c>
      <c r="R116" s="298"/>
      <c r="T116" s="298" t="s">
        <v>175</v>
      </c>
      <c r="U116" s="283"/>
      <c r="W116" s="283" t="s">
        <v>173</v>
      </c>
      <c r="X116" s="283"/>
      <c r="Y116"/>
      <c r="Z116" s="283" t="s">
        <v>172</v>
      </c>
      <c r="AA116" s="283"/>
      <c r="AC116" s="1" t="s">
        <v>171</v>
      </c>
      <c r="AE116" s="283" t="s">
        <v>170</v>
      </c>
      <c r="AF116" s="283"/>
      <c r="AH116" s="283" t="s">
        <v>169</v>
      </c>
      <c r="AI116" s="283"/>
      <c r="AK116" s="283" t="s">
        <v>168</v>
      </c>
      <c r="AL116" s="283"/>
    </row>
    <row r="117" spans="4:40" x14ac:dyDescent="0.25">
      <c r="D117" s="256" t="s">
        <v>127</v>
      </c>
      <c r="E117" s="258"/>
      <c r="F117" s="22" t="s">
        <v>143</v>
      </c>
      <c r="G117" s="45">
        <v>45102</v>
      </c>
      <c r="H117" s="45">
        <f>+G117+14</f>
        <v>45116</v>
      </c>
      <c r="I117" s="22" t="s">
        <v>79</v>
      </c>
      <c r="J117" s="22" t="s">
        <v>80</v>
      </c>
      <c r="K117" s="22" t="s">
        <v>77</v>
      </c>
    </row>
    <row r="118" spans="4:40" x14ac:dyDescent="0.25">
      <c r="D118" s="256" t="s">
        <v>129</v>
      </c>
      <c r="E118" s="258"/>
      <c r="F118" s="22" t="s">
        <v>130</v>
      </c>
      <c r="G118" s="45">
        <f>H117</f>
        <v>45116</v>
      </c>
      <c r="H118" s="45">
        <f>+G118+3</f>
        <v>45119</v>
      </c>
      <c r="I118" s="22" t="s">
        <v>80</v>
      </c>
      <c r="J118" s="22" t="s">
        <v>80</v>
      </c>
      <c r="K118" s="22" t="s">
        <v>131</v>
      </c>
    </row>
    <row r="119" spans="4:40" x14ac:dyDescent="0.25">
      <c r="D119" s="256" t="s">
        <v>132</v>
      </c>
      <c r="E119" s="258"/>
      <c r="F119" s="22" t="s">
        <v>133</v>
      </c>
      <c r="G119" s="45">
        <f>H118</f>
        <v>45119</v>
      </c>
      <c r="H119" s="45">
        <f>G119</f>
        <v>45119</v>
      </c>
      <c r="I119" s="22" t="s">
        <v>80</v>
      </c>
      <c r="J119" s="22" t="s">
        <v>134</v>
      </c>
      <c r="K119" s="22" t="s">
        <v>114</v>
      </c>
    </row>
    <row r="120" spans="4:40" x14ac:dyDescent="0.25">
      <c r="D120" s="256" t="s">
        <v>135</v>
      </c>
      <c r="E120" s="258"/>
      <c r="F120" s="22" t="s">
        <v>118</v>
      </c>
      <c r="G120" s="45">
        <f>H119</f>
        <v>45119</v>
      </c>
      <c r="H120" s="45">
        <f>+G120+1</f>
        <v>45120</v>
      </c>
      <c r="I120" s="22" t="s">
        <v>134</v>
      </c>
      <c r="J120" s="22" t="s">
        <v>134</v>
      </c>
      <c r="K120" s="22" t="s">
        <v>138</v>
      </c>
    </row>
    <row r="121" spans="4:40" x14ac:dyDescent="0.25">
      <c r="D121" s="283" t="s">
        <v>136</v>
      </c>
      <c r="E121" s="283"/>
      <c r="F121" s="22" t="s">
        <v>137</v>
      </c>
      <c r="G121" s="45">
        <f>H120</f>
        <v>45120</v>
      </c>
      <c r="H121" s="45">
        <f>+G121+8</f>
        <v>45128</v>
      </c>
      <c r="I121" s="22" t="s">
        <v>134</v>
      </c>
      <c r="J121" s="22" t="s">
        <v>78</v>
      </c>
      <c r="K121" s="22" t="s">
        <v>114</v>
      </c>
    </row>
    <row r="122" spans="4:40" x14ac:dyDescent="0.25">
      <c r="D122" s="283" t="s">
        <v>184</v>
      </c>
      <c r="E122" s="283"/>
      <c r="F122" s="233">
        <v>3980.2</v>
      </c>
    </row>
    <row r="123" spans="4:40" x14ac:dyDescent="0.25">
      <c r="Q123" s="297" t="s">
        <v>185</v>
      </c>
      <c r="R123" s="297"/>
      <c r="T123" s="297" t="s">
        <v>188</v>
      </c>
      <c r="U123" s="297"/>
      <c r="W123" s="297" t="s">
        <v>189</v>
      </c>
      <c r="X123" s="297"/>
      <c r="Y123"/>
      <c r="Z123" s="297" t="s">
        <v>190</v>
      </c>
      <c r="AA123" s="297"/>
      <c r="AC123" t="s">
        <v>192</v>
      </c>
      <c r="AE123" s="297" t="s">
        <v>195</v>
      </c>
      <c r="AF123" s="297"/>
      <c r="AH123" s="297" t="s">
        <v>135</v>
      </c>
      <c r="AI123" s="297"/>
      <c r="AK123" s="297" t="s">
        <v>136</v>
      </c>
      <c r="AL123" s="297"/>
    </row>
    <row r="124" spans="4:40" x14ac:dyDescent="0.25">
      <c r="Q124" s="297" t="s">
        <v>186</v>
      </c>
      <c r="R124" s="297"/>
      <c r="T124" s="297" t="s">
        <v>187</v>
      </c>
      <c r="U124" s="297"/>
      <c r="W124" s="297" t="s">
        <v>120</v>
      </c>
      <c r="X124" s="297"/>
      <c r="Y124"/>
      <c r="Z124" s="297" t="s">
        <v>191</v>
      </c>
      <c r="AA124" s="297"/>
      <c r="AC124" s="50" t="s">
        <v>193</v>
      </c>
      <c r="AE124" s="297" t="s">
        <v>194</v>
      </c>
      <c r="AF124" s="297"/>
      <c r="AH124" s="297" t="s">
        <v>196</v>
      </c>
      <c r="AI124" s="297"/>
    </row>
    <row r="128" spans="4:40" x14ac:dyDescent="0.25">
      <c r="O128" s="297" t="s">
        <v>145</v>
      </c>
      <c r="P128" s="297"/>
      <c r="Q128" s="297"/>
      <c r="Y128" s="297" t="s">
        <v>146</v>
      </c>
      <c r="Z128" s="297"/>
      <c r="AA128" s="297"/>
      <c r="AF128" s="297" t="s">
        <v>147</v>
      </c>
      <c r="AG128" s="297"/>
      <c r="AH128" s="297"/>
      <c r="AN128" s="23" t="s">
        <v>184</v>
      </c>
    </row>
    <row r="160" spans="4:26" x14ac:dyDescent="0.25">
      <c r="D160" s="283" t="s">
        <v>141</v>
      </c>
      <c r="E160" s="283"/>
      <c r="F160" s="283"/>
      <c r="G160" s="283"/>
      <c r="H160" s="283"/>
      <c r="I160" s="283"/>
      <c r="J160" s="283"/>
      <c r="K160" s="283"/>
      <c r="W160" s="297" t="s">
        <v>151</v>
      </c>
      <c r="X160" s="297"/>
      <c r="Y160" s="297"/>
      <c r="Z160" s="297"/>
    </row>
    <row r="161" spans="4:38" x14ac:dyDescent="0.25">
      <c r="D161" s="256" t="s">
        <v>110</v>
      </c>
      <c r="E161" s="258"/>
      <c r="F161" s="22" t="s">
        <v>111</v>
      </c>
      <c r="G161" s="22" t="s">
        <v>112</v>
      </c>
      <c r="H161" s="22" t="s">
        <v>113</v>
      </c>
      <c r="I161" s="22" t="s">
        <v>116</v>
      </c>
      <c r="J161" s="22" t="s">
        <v>115</v>
      </c>
      <c r="K161" s="46" t="s">
        <v>117</v>
      </c>
    </row>
    <row r="162" spans="4:38" x14ac:dyDescent="0.25">
      <c r="D162" s="256" t="s">
        <v>109</v>
      </c>
      <c r="E162" s="258"/>
      <c r="F162" s="22" t="s">
        <v>114</v>
      </c>
      <c r="G162" s="45">
        <v>45107</v>
      </c>
      <c r="H162" s="22" t="s">
        <v>114</v>
      </c>
      <c r="I162" s="22" t="s">
        <v>78</v>
      </c>
      <c r="J162" s="22" t="s">
        <v>78</v>
      </c>
      <c r="K162" s="22" t="s">
        <v>114</v>
      </c>
    </row>
    <row r="163" spans="4:38" x14ac:dyDescent="0.25">
      <c r="D163" s="256" t="s">
        <v>108</v>
      </c>
      <c r="E163" s="258"/>
      <c r="F163" s="22" t="s">
        <v>118</v>
      </c>
      <c r="G163" s="45">
        <f>G162</f>
        <v>45107</v>
      </c>
      <c r="H163" s="45">
        <f>+G163+1</f>
        <v>45108</v>
      </c>
      <c r="I163" s="22" t="s">
        <v>78</v>
      </c>
      <c r="J163" s="22" t="s">
        <v>78</v>
      </c>
      <c r="K163" s="22" t="s">
        <v>114</v>
      </c>
    </row>
    <row r="164" spans="4:38" x14ac:dyDescent="0.25">
      <c r="D164" s="256" t="s">
        <v>119</v>
      </c>
      <c r="E164" s="258"/>
      <c r="F164" s="22" t="s">
        <v>121</v>
      </c>
      <c r="G164" s="45">
        <f>H163</f>
        <v>45108</v>
      </c>
      <c r="H164" s="45">
        <f>+G164+2</f>
        <v>45110</v>
      </c>
      <c r="I164" s="22" t="s">
        <v>78</v>
      </c>
      <c r="J164" s="22" t="s">
        <v>122</v>
      </c>
      <c r="K164" s="22" t="s">
        <v>123</v>
      </c>
      <c r="AK164" s="138">
        <f>4007.44</f>
        <v>4007.44</v>
      </c>
      <c r="AL164" s="136"/>
    </row>
    <row r="165" spans="4:38" x14ac:dyDescent="0.25">
      <c r="D165" s="256" t="s">
        <v>120</v>
      </c>
      <c r="E165" s="258"/>
      <c r="F165" s="22" t="s">
        <v>124</v>
      </c>
      <c r="G165" s="45">
        <f>H164</f>
        <v>45110</v>
      </c>
      <c r="H165" s="45">
        <f>+G165+5</f>
        <v>45115</v>
      </c>
      <c r="I165" s="22" t="s">
        <v>79</v>
      </c>
      <c r="J165" s="22" t="s">
        <v>125</v>
      </c>
      <c r="K165" s="22" t="s">
        <v>126</v>
      </c>
      <c r="Q165" s="298" t="s">
        <v>176</v>
      </c>
      <c r="R165" s="298"/>
      <c r="T165" s="298" t="s">
        <v>177</v>
      </c>
      <c r="U165" s="283"/>
      <c r="W165" s="283" t="s">
        <v>178</v>
      </c>
      <c r="X165" s="283"/>
      <c r="Y165"/>
      <c r="Z165" s="283" t="s">
        <v>179</v>
      </c>
      <c r="AA165" s="283"/>
      <c r="AC165" s="1" t="s">
        <v>180</v>
      </c>
      <c r="AE165" s="283" t="s">
        <v>181</v>
      </c>
      <c r="AF165" s="283"/>
      <c r="AH165" s="283" t="s">
        <v>182</v>
      </c>
      <c r="AI165" s="283"/>
      <c r="AK165" s="283" t="s">
        <v>183</v>
      </c>
      <c r="AL165" s="283"/>
    </row>
    <row r="166" spans="4:38" x14ac:dyDescent="0.25">
      <c r="D166" s="256" t="s">
        <v>127</v>
      </c>
      <c r="E166" s="258"/>
      <c r="F166" s="22" t="s">
        <v>142</v>
      </c>
      <c r="G166" s="45">
        <v>45116</v>
      </c>
      <c r="H166" s="45">
        <f>+G166+12</f>
        <v>45128</v>
      </c>
      <c r="I166" s="22" t="s">
        <v>79</v>
      </c>
      <c r="J166" s="22" t="s">
        <v>80</v>
      </c>
      <c r="K166" s="22" t="s">
        <v>77</v>
      </c>
    </row>
    <row r="167" spans="4:38" x14ac:dyDescent="0.25">
      <c r="D167" s="256" t="s">
        <v>129</v>
      </c>
      <c r="E167" s="258"/>
      <c r="F167" s="22" t="s">
        <v>130</v>
      </c>
      <c r="G167" s="45">
        <f>H166</f>
        <v>45128</v>
      </c>
      <c r="H167" s="45">
        <f>+G167+3</f>
        <v>45131</v>
      </c>
      <c r="I167" s="22" t="s">
        <v>80</v>
      </c>
      <c r="J167" s="22" t="s">
        <v>80</v>
      </c>
      <c r="K167" s="22" t="s">
        <v>131</v>
      </c>
    </row>
    <row r="168" spans="4:38" x14ac:dyDescent="0.25">
      <c r="D168" s="256" t="s">
        <v>132</v>
      </c>
      <c r="E168" s="258"/>
      <c r="F168" s="22" t="s">
        <v>133</v>
      </c>
      <c r="G168" s="45">
        <f>H167</f>
        <v>45131</v>
      </c>
      <c r="H168" s="45">
        <f>G168</f>
        <v>45131</v>
      </c>
      <c r="I168" s="22" t="s">
        <v>80</v>
      </c>
      <c r="J168" s="22" t="s">
        <v>134</v>
      </c>
      <c r="K168" s="22" t="s">
        <v>114</v>
      </c>
    </row>
    <row r="169" spans="4:38" x14ac:dyDescent="0.25">
      <c r="D169" s="256" t="s">
        <v>135</v>
      </c>
      <c r="E169" s="258"/>
      <c r="F169" s="22" t="s">
        <v>118</v>
      </c>
      <c r="G169" s="45">
        <f>H168</f>
        <v>45131</v>
      </c>
      <c r="H169" s="45">
        <f>+G169+1</f>
        <v>45132</v>
      </c>
      <c r="I169" s="22" t="s">
        <v>134</v>
      </c>
      <c r="J169" s="22" t="s">
        <v>134</v>
      </c>
      <c r="K169" s="22" t="s">
        <v>138</v>
      </c>
    </row>
    <row r="170" spans="4:38" x14ac:dyDescent="0.25">
      <c r="D170" s="256" t="s">
        <v>136</v>
      </c>
      <c r="E170" s="258"/>
      <c r="F170" s="22" t="s">
        <v>137</v>
      </c>
      <c r="G170" s="45">
        <f>H169</f>
        <v>45132</v>
      </c>
      <c r="H170" s="45">
        <f>+G170+8</f>
        <v>45140</v>
      </c>
      <c r="I170" s="22" t="s">
        <v>134</v>
      </c>
      <c r="J170" s="22" t="s">
        <v>78</v>
      </c>
      <c r="K170" s="22" t="s">
        <v>114</v>
      </c>
    </row>
    <row r="171" spans="4:38" x14ac:dyDescent="0.25">
      <c r="D171" s="283" t="s">
        <v>184</v>
      </c>
      <c r="E171" s="283"/>
      <c r="F171" s="233">
        <v>4007.44</v>
      </c>
    </row>
    <row r="172" spans="4:38" x14ac:dyDescent="0.25">
      <c r="Q172" s="297" t="s">
        <v>185</v>
      </c>
      <c r="R172" s="297"/>
      <c r="T172" s="297" t="s">
        <v>188</v>
      </c>
      <c r="U172" s="297"/>
      <c r="W172" s="297" t="s">
        <v>189</v>
      </c>
      <c r="X172" s="297"/>
      <c r="Y172"/>
      <c r="Z172" s="297" t="s">
        <v>190</v>
      </c>
      <c r="AA172" s="297"/>
      <c r="AC172" t="s">
        <v>192</v>
      </c>
      <c r="AE172" s="297" t="s">
        <v>195</v>
      </c>
      <c r="AF172" s="297"/>
      <c r="AH172" s="297" t="s">
        <v>135</v>
      </c>
      <c r="AI172" s="297"/>
      <c r="AK172" s="297" t="s">
        <v>136</v>
      </c>
      <c r="AL172" s="297"/>
    </row>
    <row r="173" spans="4:38" x14ac:dyDescent="0.25">
      <c r="Q173" s="297" t="s">
        <v>186</v>
      </c>
      <c r="R173" s="297"/>
      <c r="T173" s="297" t="s">
        <v>187</v>
      </c>
      <c r="U173" s="297"/>
      <c r="W173" s="297" t="s">
        <v>120</v>
      </c>
      <c r="X173" s="297"/>
      <c r="Y173"/>
      <c r="Z173" s="297" t="s">
        <v>191</v>
      </c>
      <c r="AA173" s="297"/>
      <c r="AC173" s="50" t="s">
        <v>193</v>
      </c>
      <c r="AE173" s="297" t="s">
        <v>194</v>
      </c>
      <c r="AF173" s="297"/>
      <c r="AH173" s="297" t="s">
        <v>196</v>
      </c>
      <c r="AI173" s="297"/>
    </row>
    <row r="178" spans="15:41" x14ac:dyDescent="0.25">
      <c r="O178" s="297" t="s">
        <v>145</v>
      </c>
      <c r="P178" s="297"/>
      <c r="Q178" s="297"/>
      <c r="Y178" s="297" t="s">
        <v>146</v>
      </c>
      <c r="Z178" s="297"/>
      <c r="AA178" s="297"/>
      <c r="AF178" s="297" t="s">
        <v>147</v>
      </c>
      <c r="AG178" s="297"/>
      <c r="AH178" s="297"/>
      <c r="AO178" s="23" t="s">
        <v>184</v>
      </c>
    </row>
  </sheetData>
  <mergeCells count="150">
    <mergeCell ref="D122:E122"/>
    <mergeCell ref="D171:E171"/>
    <mergeCell ref="D12:E12"/>
    <mergeCell ref="D2:E2"/>
    <mergeCell ref="D1:K1"/>
    <mergeCell ref="D3:E3"/>
    <mergeCell ref="D4:E4"/>
    <mergeCell ref="D5:E5"/>
    <mergeCell ref="D6:E6"/>
    <mergeCell ref="D7:E7"/>
    <mergeCell ref="F19:G19"/>
    <mergeCell ref="F20:G20"/>
    <mergeCell ref="F14:G14"/>
    <mergeCell ref="F15:G15"/>
    <mergeCell ref="F16:G16"/>
    <mergeCell ref="F17:G17"/>
    <mergeCell ref="F18:G18"/>
    <mergeCell ref="D61:K61"/>
    <mergeCell ref="D62:E62"/>
    <mergeCell ref="D63:E63"/>
    <mergeCell ref="D64:E64"/>
    <mergeCell ref="D65:E65"/>
    <mergeCell ref="D114:E114"/>
    <mergeCell ref="D66:E66"/>
    <mergeCell ref="T66:U66"/>
    <mergeCell ref="P80:R80"/>
    <mergeCell ref="W9:X9"/>
    <mergeCell ref="F13:G13"/>
    <mergeCell ref="D8:E8"/>
    <mergeCell ref="D9:E9"/>
    <mergeCell ref="D10:E10"/>
    <mergeCell ref="D11:E11"/>
    <mergeCell ref="O26:Q26"/>
    <mergeCell ref="Q9:R9"/>
    <mergeCell ref="T9:U9"/>
    <mergeCell ref="Q15:R15"/>
    <mergeCell ref="T15:U15"/>
    <mergeCell ref="W15:X15"/>
    <mergeCell ref="W16:X16"/>
    <mergeCell ref="T16:U16"/>
    <mergeCell ref="Q16:R16"/>
    <mergeCell ref="D170:E170"/>
    <mergeCell ref="W160:Z160"/>
    <mergeCell ref="O178:Q178"/>
    <mergeCell ref="Y178:AA178"/>
    <mergeCell ref="AF178:AH178"/>
    <mergeCell ref="D167:E167"/>
    <mergeCell ref="D168:E168"/>
    <mergeCell ref="D169:E169"/>
    <mergeCell ref="D162:E162"/>
    <mergeCell ref="D163:E163"/>
    <mergeCell ref="D164:E164"/>
    <mergeCell ref="D165:E165"/>
    <mergeCell ref="D166:E166"/>
    <mergeCell ref="AH165:AI165"/>
    <mergeCell ref="T165:U165"/>
    <mergeCell ref="W165:X165"/>
    <mergeCell ref="D161:E161"/>
    <mergeCell ref="Z165:AA165"/>
    <mergeCell ref="AE165:AF165"/>
    <mergeCell ref="AH172:AI172"/>
    <mergeCell ref="D160:K160"/>
    <mergeCell ref="AG80:AI80"/>
    <mergeCell ref="Q73:R73"/>
    <mergeCell ref="T73:U73"/>
    <mergeCell ref="W73:X73"/>
    <mergeCell ref="Z73:AA73"/>
    <mergeCell ref="AE73:AF73"/>
    <mergeCell ref="O128:Q128"/>
    <mergeCell ref="Y128:AA128"/>
    <mergeCell ref="AF128:AH128"/>
    <mergeCell ref="AE116:AF116"/>
    <mergeCell ref="AH116:AI116"/>
    <mergeCell ref="T116:U116"/>
    <mergeCell ref="W116:X116"/>
    <mergeCell ref="AE74:AF74"/>
    <mergeCell ref="D120:E120"/>
    <mergeCell ref="D121:E121"/>
    <mergeCell ref="D115:E115"/>
    <mergeCell ref="D116:E116"/>
    <mergeCell ref="D117:E117"/>
    <mergeCell ref="D118:E118"/>
    <mergeCell ref="D119:E119"/>
    <mergeCell ref="D113:E113"/>
    <mergeCell ref="Z16:AA16"/>
    <mergeCell ref="W74:X74"/>
    <mergeCell ref="Z74:AA74"/>
    <mergeCell ref="W111:Z111"/>
    <mergeCell ref="Q116:R116"/>
    <mergeCell ref="Z80:AB80"/>
    <mergeCell ref="W66:X66"/>
    <mergeCell ref="Z66:AA66"/>
    <mergeCell ref="D67:E67"/>
    <mergeCell ref="D68:E68"/>
    <mergeCell ref="D69:E69"/>
    <mergeCell ref="D70:E70"/>
    <mergeCell ref="D71:E71"/>
    <mergeCell ref="D111:K111"/>
    <mergeCell ref="D112:E112"/>
    <mergeCell ref="D72:E72"/>
    <mergeCell ref="Z15:AA15"/>
    <mergeCell ref="AE16:AF16"/>
    <mergeCell ref="AE15:AF15"/>
    <mergeCell ref="AH16:AI16"/>
    <mergeCell ref="AH15:AI15"/>
    <mergeCell ref="AK15:AL15"/>
    <mergeCell ref="AH73:AI73"/>
    <mergeCell ref="AK73:AL73"/>
    <mergeCell ref="AK66:AL66"/>
    <mergeCell ref="Y26:AA26"/>
    <mergeCell ref="AF26:AH26"/>
    <mergeCell ref="Z9:AA9"/>
    <mergeCell ref="AE9:AF9"/>
    <mergeCell ref="AH9:AI9"/>
    <mergeCell ref="AE66:AF66"/>
    <mergeCell ref="AH66:AI66"/>
    <mergeCell ref="AK165:AL165"/>
    <mergeCell ref="AK9:AL9"/>
    <mergeCell ref="Q66:R66"/>
    <mergeCell ref="AK123:AL123"/>
    <mergeCell ref="Q124:R124"/>
    <mergeCell ref="T124:U124"/>
    <mergeCell ref="W124:X124"/>
    <mergeCell ref="Z124:AA124"/>
    <mergeCell ref="AE124:AF124"/>
    <mergeCell ref="AH124:AI124"/>
    <mergeCell ref="AH74:AI74"/>
    <mergeCell ref="Q123:R123"/>
    <mergeCell ref="T123:U123"/>
    <mergeCell ref="W123:X123"/>
    <mergeCell ref="Z123:AA123"/>
    <mergeCell ref="AE123:AF123"/>
    <mergeCell ref="AH123:AI123"/>
    <mergeCell ref="Q74:R74"/>
    <mergeCell ref="T74:U74"/>
    <mergeCell ref="AK116:AL116"/>
    <mergeCell ref="Z116:AA116"/>
    <mergeCell ref="AK172:AL172"/>
    <mergeCell ref="Q173:R173"/>
    <mergeCell ref="T173:U173"/>
    <mergeCell ref="W173:X173"/>
    <mergeCell ref="Z173:AA173"/>
    <mergeCell ref="AE173:AF173"/>
    <mergeCell ref="AH173:AI173"/>
    <mergeCell ref="Q172:R172"/>
    <mergeCell ref="T172:U172"/>
    <mergeCell ref="W172:X172"/>
    <mergeCell ref="Z172:AA172"/>
    <mergeCell ref="AE172:AF172"/>
    <mergeCell ref="Q165:R165"/>
  </mergeCell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59999389629810485"/>
  </sheetPr>
  <dimension ref="A1:AB221"/>
  <sheetViews>
    <sheetView zoomScale="82" zoomScaleNormal="82" workbookViewId="0">
      <selection activeCell="B6" sqref="B6"/>
    </sheetView>
  </sheetViews>
  <sheetFormatPr baseColWidth="10" defaultRowHeight="15" x14ac:dyDescent="0.25"/>
  <cols>
    <col min="5" max="5" width="15.140625" customWidth="1"/>
    <col min="6" max="6" width="15.28515625" customWidth="1"/>
    <col min="7" max="7" width="18.28515625" customWidth="1"/>
    <col min="8" max="8" width="18.140625" customWidth="1"/>
    <col min="9" max="9" width="21.28515625" customWidth="1"/>
    <col min="10" max="10" width="19.5703125" customWidth="1"/>
    <col min="11" max="11" width="52.85546875" style="41" customWidth="1"/>
    <col min="12" max="12" width="26.140625" style="41" customWidth="1"/>
    <col min="13" max="13" width="31.140625" customWidth="1"/>
  </cols>
  <sheetData>
    <row r="1" spans="4:28" x14ac:dyDescent="0.25">
      <c r="D1" s="283" t="s">
        <v>107</v>
      </c>
      <c r="E1" s="283"/>
      <c r="F1" s="283"/>
      <c r="G1" s="283"/>
      <c r="H1" s="283"/>
      <c r="I1" s="283"/>
      <c r="J1" s="283"/>
      <c r="K1" s="283"/>
      <c r="L1" s="283"/>
      <c r="M1" s="283"/>
      <c r="AA1" s="50"/>
    </row>
    <row r="2" spans="4:28" x14ac:dyDescent="0.25">
      <c r="D2" s="283" t="s">
        <v>110</v>
      </c>
      <c r="E2" s="283"/>
      <c r="F2" s="48" t="s">
        <v>111</v>
      </c>
      <c r="G2" s="48" t="s">
        <v>112</v>
      </c>
      <c r="H2" s="48" t="s">
        <v>279</v>
      </c>
      <c r="I2" s="48" t="s">
        <v>113</v>
      </c>
      <c r="J2" s="48"/>
      <c r="K2" s="56" t="s">
        <v>116</v>
      </c>
      <c r="L2" s="56" t="s">
        <v>115</v>
      </c>
      <c r="M2" s="46" t="s">
        <v>117</v>
      </c>
      <c r="Z2" s="15"/>
      <c r="AA2" s="15"/>
      <c r="AB2" s="15"/>
    </row>
    <row r="3" spans="4:28" x14ac:dyDescent="0.25">
      <c r="D3" s="256" t="s">
        <v>109</v>
      </c>
      <c r="E3" s="258"/>
      <c r="F3" s="48" t="s">
        <v>114</v>
      </c>
      <c r="G3" s="49">
        <v>45069</v>
      </c>
      <c r="H3" s="55">
        <v>0.29166666666666669</v>
      </c>
      <c r="I3" s="48" t="s">
        <v>114</v>
      </c>
      <c r="J3" s="48"/>
      <c r="K3" s="56" t="s">
        <v>114</v>
      </c>
      <c r="L3" s="56" t="s">
        <v>114</v>
      </c>
      <c r="M3" s="48" t="s">
        <v>114</v>
      </c>
    </row>
    <row r="4" spans="4:28" x14ac:dyDescent="0.25">
      <c r="D4" s="256" t="s">
        <v>108</v>
      </c>
      <c r="E4" s="258"/>
      <c r="F4" s="53">
        <v>12</v>
      </c>
      <c r="G4" s="49">
        <f>G3</f>
        <v>45069</v>
      </c>
      <c r="H4" s="55">
        <f>H3</f>
        <v>0.29166666666666669</v>
      </c>
      <c r="I4" s="49">
        <f>G4+TIME(F4,0,0)</f>
        <v>45069.5</v>
      </c>
      <c r="J4" s="54">
        <f>H4+TIME(F4,0,0)</f>
        <v>0.79166666666666674</v>
      </c>
      <c r="K4" s="56" t="s">
        <v>114</v>
      </c>
      <c r="L4" s="56" t="s">
        <v>114</v>
      </c>
      <c r="M4" s="48" t="s">
        <v>114</v>
      </c>
    </row>
    <row r="5" spans="4:28" s="44" customFormat="1" ht="30" x14ac:dyDescent="0.25">
      <c r="D5" s="301" t="s">
        <v>119</v>
      </c>
      <c r="E5" s="302"/>
      <c r="F5" s="59">
        <v>2.361111111111111E-2</v>
      </c>
      <c r="G5" s="60">
        <f>I4</f>
        <v>45069.5</v>
      </c>
      <c r="H5" s="61">
        <f>J4</f>
        <v>0.79166666666666674</v>
      </c>
      <c r="I5" s="60">
        <f>+G5</f>
        <v>45069.5</v>
      </c>
      <c r="J5" s="62">
        <f>H5+TIME(F5,34,0)</f>
        <v>0.81527777777777788</v>
      </c>
      <c r="K5" s="56" t="s">
        <v>199</v>
      </c>
      <c r="L5" s="56" t="s">
        <v>200</v>
      </c>
      <c r="M5" s="63" t="s">
        <v>123</v>
      </c>
    </row>
    <row r="6" spans="4:28" s="44" customFormat="1" ht="30" x14ac:dyDescent="0.25">
      <c r="D6" s="301" t="s">
        <v>120</v>
      </c>
      <c r="E6" s="302"/>
      <c r="F6" s="64">
        <f>5*24</f>
        <v>120</v>
      </c>
      <c r="G6" s="60">
        <f>I5</f>
        <v>45069.5</v>
      </c>
      <c r="H6" s="61">
        <f>J5</f>
        <v>0.81527777777777788</v>
      </c>
      <c r="I6" s="60">
        <f>+G6+5</f>
        <v>45074.5</v>
      </c>
      <c r="J6" s="62">
        <f t="shared" ref="J6:J12" si="0">H6+TIME(F6,0,0)</f>
        <v>0.81527777777777788</v>
      </c>
      <c r="K6" s="56" t="s">
        <v>200</v>
      </c>
      <c r="L6" s="56" t="s">
        <v>200</v>
      </c>
      <c r="M6" s="63" t="s">
        <v>280</v>
      </c>
    </row>
    <row r="7" spans="4:28" s="44" customFormat="1" x14ac:dyDescent="0.25">
      <c r="D7" s="307" t="s">
        <v>275</v>
      </c>
      <c r="E7" s="308"/>
      <c r="F7" s="64">
        <v>6</v>
      </c>
      <c r="G7" s="60">
        <v>45075</v>
      </c>
      <c r="H7" s="61">
        <v>0.95486111111111116</v>
      </c>
      <c r="I7" s="60">
        <f>+G7+1</f>
        <v>45076</v>
      </c>
      <c r="J7" s="62">
        <f t="shared" si="0"/>
        <v>1.2048611111111112</v>
      </c>
      <c r="K7" s="309" t="s">
        <v>200</v>
      </c>
      <c r="L7" s="309" t="s">
        <v>80</v>
      </c>
      <c r="M7" s="312" t="s">
        <v>280</v>
      </c>
    </row>
    <row r="8" spans="4:28" s="123" customFormat="1" x14ac:dyDescent="0.25">
      <c r="D8" s="261" t="s">
        <v>274</v>
      </c>
      <c r="E8" s="262"/>
      <c r="F8" s="128">
        <v>6</v>
      </c>
      <c r="G8" s="125">
        <v>45076</v>
      </c>
      <c r="H8" s="126">
        <v>0.28819444444444448</v>
      </c>
      <c r="I8" s="125">
        <v>45076</v>
      </c>
      <c r="J8" s="126">
        <f t="shared" si="0"/>
        <v>0.53819444444444442</v>
      </c>
      <c r="K8" s="310"/>
      <c r="L8" s="310"/>
      <c r="M8" s="313"/>
    </row>
    <row r="9" spans="4:28" s="123" customFormat="1" x14ac:dyDescent="0.25">
      <c r="D9" s="261" t="s">
        <v>276</v>
      </c>
      <c r="E9" s="262"/>
      <c r="F9" s="128">
        <v>6</v>
      </c>
      <c r="G9" s="125">
        <v>45076</v>
      </c>
      <c r="H9" s="126">
        <v>0.64583333333333337</v>
      </c>
      <c r="I9" s="125">
        <v>45076</v>
      </c>
      <c r="J9" s="127">
        <f t="shared" si="0"/>
        <v>0.89583333333333337</v>
      </c>
      <c r="K9" s="310"/>
      <c r="L9" s="310"/>
      <c r="M9" s="313"/>
    </row>
    <row r="10" spans="4:28" s="123" customFormat="1" x14ac:dyDescent="0.25">
      <c r="D10" s="261" t="s">
        <v>277</v>
      </c>
      <c r="E10" s="262"/>
      <c r="F10" s="128">
        <v>6</v>
      </c>
      <c r="G10" s="125">
        <v>45076</v>
      </c>
      <c r="H10" s="126">
        <v>0.75</v>
      </c>
      <c r="I10" s="125">
        <v>45077</v>
      </c>
      <c r="J10" s="127">
        <f t="shared" si="0"/>
        <v>1</v>
      </c>
      <c r="K10" s="310"/>
      <c r="L10" s="310"/>
      <c r="M10" s="313"/>
    </row>
    <row r="11" spans="4:28" s="123" customFormat="1" x14ac:dyDescent="0.25">
      <c r="D11" s="261" t="s">
        <v>278</v>
      </c>
      <c r="E11" s="262"/>
      <c r="F11" s="128">
        <v>9</v>
      </c>
      <c r="G11" s="125">
        <v>45076</v>
      </c>
      <c r="H11" s="122">
        <v>0.95486111111111116</v>
      </c>
      <c r="I11" s="125">
        <v>45077</v>
      </c>
      <c r="J11" s="127">
        <f t="shared" si="0"/>
        <v>1.3298611111111112</v>
      </c>
      <c r="K11" s="311"/>
      <c r="L11" s="311"/>
      <c r="M11" s="314"/>
    </row>
    <row r="12" spans="4:28" s="44" customFormat="1" x14ac:dyDescent="0.25">
      <c r="D12" s="301" t="s">
        <v>129</v>
      </c>
      <c r="E12" s="302"/>
      <c r="F12" s="64">
        <f>3*24</f>
        <v>72</v>
      </c>
      <c r="G12" s="60">
        <f>I11</f>
        <v>45077</v>
      </c>
      <c r="H12" s="61">
        <f>J11</f>
        <v>1.3298611111111112</v>
      </c>
      <c r="I12" s="60">
        <f>+G12+3</f>
        <v>45080</v>
      </c>
      <c r="J12" s="62">
        <f t="shared" si="0"/>
        <v>1.3298611111111112</v>
      </c>
      <c r="K12" s="56" t="s">
        <v>80</v>
      </c>
      <c r="L12" s="56" t="s">
        <v>80</v>
      </c>
      <c r="M12" s="63" t="s">
        <v>131</v>
      </c>
    </row>
    <row r="13" spans="4:28" s="44" customFormat="1" x14ac:dyDescent="0.25">
      <c r="D13" s="301" t="s">
        <v>132</v>
      </c>
      <c r="E13" s="302"/>
      <c r="F13" s="59" t="s">
        <v>198</v>
      </c>
      <c r="G13" s="60">
        <f t="shared" ref="G13:H15" si="1">I12</f>
        <v>45080</v>
      </c>
      <c r="H13" s="61">
        <f t="shared" si="1"/>
        <v>1.3298611111111112</v>
      </c>
      <c r="I13" s="60">
        <f>G13</f>
        <v>45080</v>
      </c>
      <c r="J13" s="62">
        <f>H13+TIME(2,24,0)</f>
        <v>1.4298611111111112</v>
      </c>
      <c r="K13" s="56" t="s">
        <v>80</v>
      </c>
      <c r="L13" s="56" t="s">
        <v>134</v>
      </c>
      <c r="M13" s="63" t="s">
        <v>114</v>
      </c>
      <c r="Q13" s="65"/>
    </row>
    <row r="14" spans="4:28" s="44" customFormat="1" x14ac:dyDescent="0.25">
      <c r="D14" s="301" t="s">
        <v>135</v>
      </c>
      <c r="E14" s="302"/>
      <c r="F14" s="64">
        <v>12</v>
      </c>
      <c r="G14" s="60">
        <f t="shared" si="1"/>
        <v>45080</v>
      </c>
      <c r="H14" s="61">
        <f t="shared" si="1"/>
        <v>1.4298611111111112</v>
      </c>
      <c r="I14" s="60">
        <f>+G14+1</f>
        <v>45081</v>
      </c>
      <c r="J14" s="62">
        <f>H14+TIME(F14,0,0)</f>
        <v>1.9298611111111112</v>
      </c>
      <c r="K14" s="56" t="s">
        <v>134</v>
      </c>
      <c r="L14" s="56" t="s">
        <v>134</v>
      </c>
      <c r="M14" s="63" t="s">
        <v>138</v>
      </c>
    </row>
    <row r="15" spans="4:28" s="44" customFormat="1" x14ac:dyDescent="0.25">
      <c r="D15" s="301" t="s">
        <v>136</v>
      </c>
      <c r="E15" s="302"/>
      <c r="F15" s="64">
        <f>8*24</f>
        <v>192</v>
      </c>
      <c r="G15" s="60">
        <f t="shared" si="1"/>
        <v>45081</v>
      </c>
      <c r="H15" s="61">
        <f t="shared" si="1"/>
        <v>1.9298611111111112</v>
      </c>
      <c r="I15" s="60">
        <f>+G15+8</f>
        <v>45089</v>
      </c>
      <c r="J15" s="62">
        <f>H15+TIME(F15,0,0)</f>
        <v>1.9298611111111112</v>
      </c>
      <c r="K15" s="56" t="s">
        <v>134</v>
      </c>
      <c r="L15" s="56" t="s">
        <v>199</v>
      </c>
      <c r="M15" s="63" t="s">
        <v>114</v>
      </c>
    </row>
    <row r="16" spans="4:28" x14ac:dyDescent="0.25">
      <c r="D16" s="283" t="s">
        <v>184</v>
      </c>
      <c r="E16" s="283"/>
      <c r="F16" s="233">
        <v>4173.66</v>
      </c>
      <c r="G16" s="136"/>
      <c r="H16" s="51"/>
      <c r="I16" s="51"/>
      <c r="J16" s="51"/>
      <c r="K16" s="57"/>
      <c r="L16" s="57"/>
      <c r="M16" s="51"/>
      <c r="N16" s="51"/>
      <c r="O16" s="51"/>
    </row>
    <row r="17" spans="2:26" x14ac:dyDescent="0.25">
      <c r="F17" s="299"/>
      <c r="G17" s="299"/>
      <c r="H17" s="51"/>
      <c r="I17" s="51"/>
      <c r="J17" s="51"/>
      <c r="K17" s="57"/>
      <c r="L17" s="57"/>
      <c r="M17" s="51"/>
      <c r="N17" s="51"/>
      <c r="O17" s="51"/>
    </row>
    <row r="18" spans="2:26" x14ac:dyDescent="0.25">
      <c r="F18" s="51"/>
      <c r="G18" s="51"/>
      <c r="H18" s="51"/>
      <c r="I18" s="51"/>
      <c r="J18" s="50" t="s">
        <v>148</v>
      </c>
      <c r="K18" s="57"/>
      <c r="L18" s="57"/>
      <c r="M18" s="51"/>
    </row>
    <row r="19" spans="2:26" x14ac:dyDescent="0.25">
      <c r="F19" s="303"/>
      <c r="G19" s="303"/>
      <c r="H19" s="52"/>
      <c r="I19" s="303"/>
      <c r="J19" s="303"/>
      <c r="K19" s="303"/>
      <c r="L19" s="58"/>
      <c r="M19" s="51"/>
      <c r="N19" s="51"/>
      <c r="O19" s="51"/>
    </row>
    <row r="20" spans="2:26" x14ac:dyDescent="0.25">
      <c r="F20" s="299"/>
      <c r="G20" s="299"/>
      <c r="H20" s="51"/>
      <c r="I20" s="51"/>
      <c r="J20" s="51"/>
      <c r="K20" s="57"/>
      <c r="L20" s="57"/>
      <c r="M20" s="51"/>
      <c r="N20" s="51"/>
      <c r="O20" s="51"/>
    </row>
    <row r="21" spans="2:26" x14ac:dyDescent="0.25">
      <c r="B21" s="44"/>
      <c r="C21" s="44"/>
      <c r="D21" s="44"/>
      <c r="E21" s="44"/>
      <c r="F21" s="44"/>
      <c r="G21" s="44"/>
      <c r="H21" s="44"/>
      <c r="I21" s="44"/>
      <c r="J21" s="44"/>
      <c r="K21" s="44"/>
      <c r="L21" s="44"/>
      <c r="M21" s="44"/>
      <c r="N21" s="44"/>
      <c r="O21" s="44"/>
      <c r="P21" s="44"/>
      <c r="Q21" s="44"/>
      <c r="R21" s="44"/>
      <c r="S21" s="44"/>
      <c r="T21" s="44"/>
      <c r="U21" s="44"/>
      <c r="Y21" s="135">
        <v>4173.66</v>
      </c>
      <c r="Z21" s="65"/>
    </row>
    <row r="22" spans="2:26" x14ac:dyDescent="0.25">
      <c r="B22" s="304" t="s">
        <v>201</v>
      </c>
      <c r="C22" s="304"/>
      <c r="D22" s="44"/>
      <c r="E22" s="304" t="s">
        <v>202</v>
      </c>
      <c r="F22" s="300"/>
      <c r="G22" s="44"/>
      <c r="H22" s="300" t="s">
        <v>203</v>
      </c>
      <c r="I22" s="300"/>
      <c r="J22" s="44"/>
      <c r="K22" s="111" t="s">
        <v>286</v>
      </c>
      <c r="M22" s="63" t="s">
        <v>287</v>
      </c>
      <c r="P22" s="300" t="s">
        <v>288</v>
      </c>
      <c r="Q22" s="300"/>
      <c r="R22" s="44"/>
      <c r="U22" s="300" t="s">
        <v>289</v>
      </c>
      <c r="V22" s="300"/>
      <c r="Y22" s="300" t="s">
        <v>285</v>
      </c>
      <c r="Z22" s="300"/>
    </row>
    <row r="23" spans="2:26" x14ac:dyDescent="0.25">
      <c r="B23" s="44"/>
      <c r="C23" s="44"/>
      <c r="D23" s="44"/>
      <c r="E23" s="44"/>
      <c r="F23" s="44"/>
      <c r="G23" s="44"/>
      <c r="H23" s="44"/>
      <c r="I23" s="44"/>
      <c r="J23" s="44"/>
      <c r="K23" s="44"/>
      <c r="L23" s="44"/>
      <c r="M23" s="44"/>
      <c r="N23" s="44"/>
      <c r="O23" s="44"/>
      <c r="P23" s="44"/>
      <c r="Q23" s="44"/>
      <c r="R23" s="44"/>
      <c r="S23" s="44"/>
      <c r="T23" s="44"/>
      <c r="U23" s="44"/>
      <c r="V23" s="44"/>
      <c r="W23" s="44"/>
    </row>
    <row r="24" spans="2:26" x14ac:dyDescent="0.25">
      <c r="B24" s="44"/>
      <c r="C24" s="44"/>
      <c r="D24" s="44"/>
      <c r="E24" s="44"/>
      <c r="F24" s="44"/>
      <c r="G24" s="44"/>
      <c r="H24" s="44"/>
      <c r="I24" s="44"/>
      <c r="J24" s="44"/>
      <c r="K24" s="44"/>
      <c r="L24" s="44"/>
      <c r="M24" s="44"/>
      <c r="N24" s="44"/>
      <c r="O24" s="44"/>
      <c r="P24" s="44"/>
      <c r="Q24" s="44"/>
      <c r="R24" s="44"/>
      <c r="S24" s="44"/>
      <c r="T24" s="44"/>
      <c r="U24" s="44"/>
      <c r="V24" s="44"/>
      <c r="W24" s="44"/>
    </row>
    <row r="25" spans="2:26" x14ac:dyDescent="0.25">
      <c r="K25"/>
      <c r="L25"/>
    </row>
    <row r="26" spans="2:26" x14ac:dyDescent="0.25">
      <c r="K26"/>
      <c r="L26"/>
    </row>
    <row r="27" spans="2:26" x14ac:dyDescent="0.25">
      <c r="H27" s="50"/>
      <c r="K27"/>
      <c r="L27"/>
    </row>
    <row r="28" spans="2:26" x14ac:dyDescent="0.25">
      <c r="B28" s="297" t="s">
        <v>185</v>
      </c>
      <c r="C28" s="297"/>
      <c r="E28" s="297" t="s">
        <v>188</v>
      </c>
      <c r="F28" s="297"/>
      <c r="H28" s="297" t="s">
        <v>189</v>
      </c>
      <c r="I28" s="297"/>
      <c r="K28" s="109" t="s">
        <v>190</v>
      </c>
      <c r="L28" s="15"/>
      <c r="M28" s="50" t="s">
        <v>192</v>
      </c>
      <c r="P28" s="297" t="s">
        <v>195</v>
      </c>
      <c r="Q28" s="297"/>
      <c r="U28" s="297" t="s">
        <v>135</v>
      </c>
      <c r="V28" s="297"/>
      <c r="Y28" s="297" t="s">
        <v>136</v>
      </c>
      <c r="Z28" s="297"/>
    </row>
    <row r="29" spans="2:26" x14ac:dyDescent="0.25">
      <c r="B29" s="297" t="s">
        <v>186</v>
      </c>
      <c r="C29" s="297"/>
      <c r="E29" s="297" t="s">
        <v>187</v>
      </c>
      <c r="F29" s="297"/>
      <c r="H29" s="297" t="s">
        <v>120</v>
      </c>
      <c r="I29" s="297"/>
      <c r="K29" s="50" t="s">
        <v>191</v>
      </c>
      <c r="L29" s="15"/>
      <c r="M29" s="50" t="s">
        <v>193</v>
      </c>
      <c r="P29" s="297" t="s">
        <v>194</v>
      </c>
      <c r="Q29" s="297"/>
      <c r="U29" s="297" t="s">
        <v>196</v>
      </c>
      <c r="V29" s="297"/>
    </row>
    <row r="33" spans="4:26" x14ac:dyDescent="0.25">
      <c r="D33" s="297" t="s">
        <v>145</v>
      </c>
      <c r="E33" s="297"/>
      <c r="F33" s="297"/>
      <c r="J33" s="297" t="s">
        <v>146</v>
      </c>
      <c r="K33" s="297"/>
      <c r="M33" s="15"/>
      <c r="P33" s="15"/>
      <c r="Q33" s="15"/>
      <c r="R33" s="15" t="s">
        <v>147</v>
      </c>
      <c r="Z33" s="50" t="s">
        <v>184</v>
      </c>
    </row>
    <row r="63" spans="4:27" x14ac:dyDescent="0.25">
      <c r="D63" s="283" t="s">
        <v>139</v>
      </c>
      <c r="E63" s="283"/>
      <c r="F63" s="283"/>
      <c r="G63" s="283"/>
      <c r="H63" s="283"/>
      <c r="I63" s="283"/>
      <c r="J63" s="283"/>
      <c r="K63" s="283"/>
      <c r="L63" s="283"/>
      <c r="M63" s="283"/>
      <c r="AA63" s="50"/>
    </row>
    <row r="64" spans="4:27" x14ac:dyDescent="0.25">
      <c r="D64" s="283" t="s">
        <v>110</v>
      </c>
      <c r="E64" s="283"/>
      <c r="F64" s="48" t="s">
        <v>111</v>
      </c>
      <c r="G64" s="48" t="s">
        <v>112</v>
      </c>
      <c r="H64" s="48" t="s">
        <v>279</v>
      </c>
      <c r="I64" s="48" t="s">
        <v>113</v>
      </c>
      <c r="J64" s="48"/>
      <c r="K64" s="56" t="s">
        <v>116</v>
      </c>
      <c r="L64" s="56" t="s">
        <v>115</v>
      </c>
      <c r="M64" s="46" t="s">
        <v>117</v>
      </c>
      <c r="Z64" s="15"/>
      <c r="AA64" s="15"/>
    </row>
    <row r="65" spans="1:27" x14ac:dyDescent="0.25">
      <c r="D65" s="256" t="s">
        <v>109</v>
      </c>
      <c r="E65" s="258"/>
      <c r="F65" s="48" t="s">
        <v>114</v>
      </c>
      <c r="G65" s="49">
        <f>+G3+12</f>
        <v>45081</v>
      </c>
      <c r="H65" s="55">
        <v>0.29166666666666669</v>
      </c>
      <c r="I65" s="48" t="s">
        <v>114</v>
      </c>
      <c r="J65" s="48"/>
      <c r="K65" s="56" t="s">
        <v>114</v>
      </c>
      <c r="L65" s="56" t="s">
        <v>114</v>
      </c>
      <c r="M65" s="48" t="s">
        <v>114</v>
      </c>
    </row>
    <row r="66" spans="1:27" x14ac:dyDescent="0.25">
      <c r="D66" s="256" t="s">
        <v>108</v>
      </c>
      <c r="E66" s="258"/>
      <c r="F66" s="53">
        <v>12</v>
      </c>
      <c r="G66" s="49">
        <f>G65</f>
        <v>45081</v>
      </c>
      <c r="H66" s="55">
        <f>H65</f>
        <v>0.29166666666666669</v>
      </c>
      <c r="I66" s="49">
        <f>G66+TIME(F66,0,0)</f>
        <v>45081.5</v>
      </c>
      <c r="J66" s="54">
        <f>H66+TIME(F66,0,0)</f>
        <v>0.79166666666666674</v>
      </c>
      <c r="K66" s="56" t="s">
        <v>114</v>
      </c>
      <c r="L66" s="56" t="s">
        <v>114</v>
      </c>
      <c r="M66" s="48" t="s">
        <v>114</v>
      </c>
    </row>
    <row r="67" spans="1:27" ht="30" x14ac:dyDescent="0.25">
      <c r="A67" s="44"/>
      <c r="B67" s="44"/>
      <c r="C67" s="44"/>
      <c r="D67" s="301" t="s">
        <v>119</v>
      </c>
      <c r="E67" s="302"/>
      <c r="F67" s="59">
        <v>2.361111111111111E-2</v>
      </c>
      <c r="G67" s="60">
        <f>I66</f>
        <v>45081.5</v>
      </c>
      <c r="H67" s="61">
        <f>J66</f>
        <v>0.79166666666666674</v>
      </c>
      <c r="I67" s="60">
        <f>+G67</f>
        <v>45081.5</v>
      </c>
      <c r="J67" s="62">
        <f>H67+TIME(F67,34,0)</f>
        <v>0.81527777777777788</v>
      </c>
      <c r="K67" s="56" t="s">
        <v>199</v>
      </c>
      <c r="L67" s="56" t="s">
        <v>200</v>
      </c>
      <c r="M67" s="63" t="s">
        <v>123</v>
      </c>
      <c r="N67" s="44"/>
      <c r="O67" s="44"/>
      <c r="P67" s="44"/>
      <c r="Q67" s="44"/>
      <c r="R67" s="44"/>
      <c r="S67" s="44"/>
      <c r="T67" s="44"/>
      <c r="U67" s="44"/>
      <c r="V67" s="44"/>
      <c r="W67" s="44"/>
      <c r="X67" s="44"/>
      <c r="Y67" s="44"/>
      <c r="Z67" s="44"/>
      <c r="AA67" s="44"/>
    </row>
    <row r="68" spans="1:27" ht="30" x14ac:dyDescent="0.25">
      <c r="A68" s="44"/>
      <c r="B68" s="44"/>
      <c r="C68" s="44"/>
      <c r="D68" s="301" t="s">
        <v>120</v>
      </c>
      <c r="E68" s="302"/>
      <c r="F68" s="64">
        <f>5*24</f>
        <v>120</v>
      </c>
      <c r="G68" s="60">
        <f>I67</f>
        <v>45081.5</v>
      </c>
      <c r="H68" s="61">
        <f>J67</f>
        <v>0.81527777777777788</v>
      </c>
      <c r="I68" s="60">
        <f>+G68+5</f>
        <v>45086.5</v>
      </c>
      <c r="J68" s="62">
        <f>H68+TIME(F68,0,0)</f>
        <v>0.81527777777777788</v>
      </c>
      <c r="K68" s="56" t="s">
        <v>200</v>
      </c>
      <c r="L68" s="56" t="s">
        <v>200</v>
      </c>
      <c r="M68" s="63" t="s">
        <v>280</v>
      </c>
      <c r="N68" s="44"/>
      <c r="O68" s="44"/>
      <c r="P68" s="44"/>
      <c r="Q68" s="44"/>
      <c r="R68" s="44"/>
      <c r="S68" s="44"/>
      <c r="T68" s="44"/>
      <c r="U68" s="44"/>
      <c r="V68" s="44"/>
      <c r="W68" s="44"/>
      <c r="X68" s="44"/>
      <c r="Y68" s="44"/>
      <c r="Z68" s="44"/>
      <c r="AA68" s="44"/>
    </row>
    <row r="69" spans="1:27" x14ac:dyDescent="0.25">
      <c r="A69" s="44"/>
      <c r="B69" s="44"/>
      <c r="C69" s="44"/>
      <c r="D69" s="307" t="s">
        <v>275</v>
      </c>
      <c r="E69" s="308"/>
      <c r="F69" s="64">
        <v>6</v>
      </c>
      <c r="G69" s="60">
        <v>45087</v>
      </c>
      <c r="H69" s="61">
        <v>0.95486111111111116</v>
      </c>
      <c r="I69" s="60">
        <f>+G69+1</f>
        <v>45088</v>
      </c>
      <c r="J69" s="62">
        <f>H69+TIME(F69,0,0)</f>
        <v>1.2048611111111112</v>
      </c>
      <c r="K69" s="309" t="s">
        <v>200</v>
      </c>
      <c r="L69" s="309" t="s">
        <v>80</v>
      </c>
      <c r="M69" s="312" t="s">
        <v>280</v>
      </c>
      <c r="N69" s="44"/>
      <c r="O69" s="44"/>
      <c r="P69" s="44"/>
      <c r="Q69" s="44"/>
      <c r="R69" s="44"/>
      <c r="S69" s="44"/>
      <c r="T69" s="44"/>
      <c r="U69" s="44"/>
      <c r="V69" s="44"/>
      <c r="W69" s="44"/>
      <c r="X69" s="44"/>
      <c r="Y69" s="44"/>
      <c r="Z69" s="44"/>
      <c r="AA69" s="44"/>
    </row>
    <row r="70" spans="1:27" s="123" customFormat="1" x14ac:dyDescent="0.25">
      <c r="D70" s="284" t="s">
        <v>274</v>
      </c>
      <c r="E70" s="286"/>
      <c r="F70" s="128">
        <v>6</v>
      </c>
      <c r="G70" s="125">
        <v>45088</v>
      </c>
      <c r="H70" s="126">
        <v>0.28819444444444448</v>
      </c>
      <c r="I70" s="125">
        <v>45088</v>
      </c>
      <c r="J70" s="127">
        <f t="shared" ref="J70:J76" si="2">H70+TIME(F70,0,0)</f>
        <v>0.53819444444444442</v>
      </c>
      <c r="K70" s="310"/>
      <c r="L70" s="310"/>
      <c r="M70" s="313"/>
    </row>
    <row r="71" spans="1:27" s="123" customFormat="1" x14ac:dyDescent="0.25">
      <c r="D71" s="284" t="s">
        <v>276</v>
      </c>
      <c r="E71" s="286"/>
      <c r="F71" s="128">
        <v>6</v>
      </c>
      <c r="G71" s="125">
        <v>45088</v>
      </c>
      <c r="H71" s="126">
        <v>0.64583333333333337</v>
      </c>
      <c r="I71" s="125">
        <v>45088</v>
      </c>
      <c r="J71" s="127">
        <f t="shared" si="2"/>
        <v>0.89583333333333337</v>
      </c>
      <c r="K71" s="310"/>
      <c r="L71" s="310"/>
      <c r="M71" s="313"/>
    </row>
    <row r="72" spans="1:27" s="123" customFormat="1" x14ac:dyDescent="0.25">
      <c r="D72" s="284" t="s">
        <v>277</v>
      </c>
      <c r="E72" s="286"/>
      <c r="F72" s="128">
        <v>10</v>
      </c>
      <c r="G72" s="125">
        <v>45088</v>
      </c>
      <c r="H72" s="126">
        <v>0.61805555555555558</v>
      </c>
      <c r="I72" s="125">
        <v>45089</v>
      </c>
      <c r="J72" s="127">
        <f t="shared" si="2"/>
        <v>1.0347222222222223</v>
      </c>
      <c r="K72" s="310"/>
      <c r="L72" s="310"/>
      <c r="M72" s="313"/>
    </row>
    <row r="73" spans="1:27" s="123" customFormat="1" x14ac:dyDescent="0.25">
      <c r="D73" s="284" t="s">
        <v>278</v>
      </c>
      <c r="E73" s="286"/>
      <c r="F73" s="128">
        <v>9</v>
      </c>
      <c r="G73" s="125">
        <v>45088</v>
      </c>
      <c r="H73" s="126">
        <v>0.7993055555555556</v>
      </c>
      <c r="I73" s="125">
        <v>45089</v>
      </c>
      <c r="J73" s="127">
        <f t="shared" si="2"/>
        <v>1.1743055555555557</v>
      </c>
      <c r="K73" s="310"/>
      <c r="L73" s="310"/>
      <c r="M73" s="313"/>
    </row>
    <row r="74" spans="1:27" s="123" customFormat="1" x14ac:dyDescent="0.25">
      <c r="D74" s="284" t="s">
        <v>281</v>
      </c>
      <c r="E74" s="286"/>
      <c r="F74" s="128">
        <v>11</v>
      </c>
      <c r="G74" s="125">
        <v>45088</v>
      </c>
      <c r="H74" s="126">
        <v>0.53125</v>
      </c>
      <c r="I74" s="125">
        <v>45089</v>
      </c>
      <c r="J74" s="127">
        <f t="shared" si="2"/>
        <v>0.98958333333333326</v>
      </c>
      <c r="K74" s="310"/>
      <c r="L74" s="310"/>
      <c r="M74" s="313"/>
    </row>
    <row r="75" spans="1:27" s="123" customFormat="1" x14ac:dyDescent="0.25">
      <c r="D75" s="284" t="s">
        <v>282</v>
      </c>
      <c r="E75" s="286"/>
      <c r="F75" s="128">
        <v>11</v>
      </c>
      <c r="G75" s="125">
        <v>45088</v>
      </c>
      <c r="H75" s="126">
        <v>0.73055555555555562</v>
      </c>
      <c r="I75" s="125">
        <v>45089</v>
      </c>
      <c r="J75" s="127">
        <f t="shared" si="2"/>
        <v>1.1888888888888889</v>
      </c>
      <c r="K75" s="310"/>
      <c r="L75" s="310"/>
      <c r="M75" s="313"/>
    </row>
    <row r="76" spans="1:27" s="123" customFormat="1" x14ac:dyDescent="0.25">
      <c r="D76" s="284" t="s">
        <v>283</v>
      </c>
      <c r="E76" s="286"/>
      <c r="F76" s="128">
        <v>6</v>
      </c>
      <c r="G76" s="125">
        <v>45088</v>
      </c>
      <c r="H76" s="126">
        <v>0.95486111111111116</v>
      </c>
      <c r="I76" s="125">
        <v>45089</v>
      </c>
      <c r="J76" s="127">
        <f t="shared" si="2"/>
        <v>1.2048611111111112</v>
      </c>
      <c r="K76" s="311"/>
      <c r="L76" s="311"/>
      <c r="M76" s="314"/>
    </row>
    <row r="77" spans="1:27" x14ac:dyDescent="0.25">
      <c r="A77" s="44"/>
      <c r="B77" s="44"/>
      <c r="C77" s="44"/>
      <c r="D77" s="301" t="s">
        <v>129</v>
      </c>
      <c r="E77" s="302"/>
      <c r="F77" s="64">
        <f>3*24</f>
        <v>72</v>
      </c>
      <c r="G77" s="60">
        <f>I76</f>
        <v>45089</v>
      </c>
      <c r="H77" s="61">
        <f>J69</f>
        <v>1.2048611111111112</v>
      </c>
      <c r="I77" s="60">
        <f>+G77+3</f>
        <v>45092</v>
      </c>
      <c r="J77" s="62">
        <f>H77+TIME(F77,0,0)</f>
        <v>1.2048611111111112</v>
      </c>
      <c r="K77" s="56" t="s">
        <v>80</v>
      </c>
      <c r="L77" s="56" t="s">
        <v>80</v>
      </c>
      <c r="M77" s="63" t="s">
        <v>131</v>
      </c>
      <c r="N77" s="44"/>
      <c r="O77" s="44"/>
      <c r="P77" s="44"/>
      <c r="Q77" s="44"/>
      <c r="R77" s="44"/>
      <c r="S77" s="44"/>
      <c r="T77" s="44"/>
      <c r="U77" s="44"/>
      <c r="V77" s="44"/>
      <c r="W77" s="44"/>
      <c r="X77" s="44"/>
      <c r="Y77" s="44"/>
      <c r="Z77" s="44"/>
      <c r="AA77" s="44"/>
    </row>
    <row r="78" spans="1:27" x14ac:dyDescent="0.25">
      <c r="A78" s="44"/>
      <c r="B78" s="44"/>
      <c r="C78" s="44"/>
      <c r="D78" s="301" t="s">
        <v>132</v>
      </c>
      <c r="E78" s="302"/>
      <c r="F78" s="59" t="s">
        <v>198</v>
      </c>
      <c r="G78" s="60">
        <f t="shared" ref="G78:H80" si="3">I77</f>
        <v>45092</v>
      </c>
      <c r="H78" s="61">
        <f t="shared" si="3"/>
        <v>1.2048611111111112</v>
      </c>
      <c r="I78" s="60">
        <f>G78</f>
        <v>45092</v>
      </c>
      <c r="J78" s="62">
        <f>H78+TIME(2,24,0)</f>
        <v>1.3048611111111112</v>
      </c>
      <c r="K78" s="56" t="s">
        <v>80</v>
      </c>
      <c r="L78" s="56" t="s">
        <v>134</v>
      </c>
      <c r="M78" s="63" t="s">
        <v>114</v>
      </c>
      <c r="N78" s="44"/>
      <c r="O78" s="44"/>
      <c r="P78" s="44"/>
      <c r="Q78" s="65"/>
      <c r="R78" s="44"/>
      <c r="S78" s="44"/>
      <c r="T78" s="44"/>
      <c r="U78" s="44"/>
      <c r="V78" s="44"/>
      <c r="W78" s="44"/>
      <c r="X78" s="44"/>
      <c r="Y78" s="44"/>
      <c r="Z78" s="44"/>
      <c r="AA78" s="44"/>
    </row>
    <row r="79" spans="1:27" x14ac:dyDescent="0.25">
      <c r="A79" s="44"/>
      <c r="B79" s="44"/>
      <c r="C79" s="44"/>
      <c r="D79" s="301" t="s">
        <v>135</v>
      </c>
      <c r="E79" s="302"/>
      <c r="F79" s="64">
        <v>12</v>
      </c>
      <c r="G79" s="60">
        <f t="shared" si="3"/>
        <v>45092</v>
      </c>
      <c r="H79" s="61">
        <f t="shared" si="3"/>
        <v>1.3048611111111112</v>
      </c>
      <c r="I79" s="60">
        <f>+G79+1</f>
        <v>45093</v>
      </c>
      <c r="J79" s="62">
        <f>H79+TIME(F79,0,0)</f>
        <v>1.8048611111111112</v>
      </c>
      <c r="K79" s="56" t="s">
        <v>134</v>
      </c>
      <c r="L79" s="56" t="s">
        <v>134</v>
      </c>
      <c r="M79" s="63" t="s">
        <v>138</v>
      </c>
      <c r="N79" s="44"/>
      <c r="O79" s="44"/>
      <c r="P79" s="44"/>
      <c r="Q79" s="44"/>
      <c r="R79" s="44"/>
      <c r="S79" s="44"/>
      <c r="T79" s="44"/>
      <c r="U79" s="44"/>
      <c r="V79" s="44"/>
      <c r="W79" s="44"/>
      <c r="X79" s="44"/>
      <c r="Y79" s="44"/>
      <c r="Z79" s="44"/>
      <c r="AA79" s="44"/>
    </row>
    <row r="80" spans="1:27" x14ac:dyDescent="0.25">
      <c r="A80" s="44"/>
      <c r="B80" s="44"/>
      <c r="C80" s="44"/>
      <c r="D80" s="301" t="s">
        <v>136</v>
      </c>
      <c r="E80" s="302"/>
      <c r="F80" s="64">
        <f>8*24</f>
        <v>192</v>
      </c>
      <c r="G80" s="60">
        <f t="shared" si="3"/>
        <v>45093</v>
      </c>
      <c r="H80" s="61">
        <f t="shared" si="3"/>
        <v>1.8048611111111112</v>
      </c>
      <c r="I80" s="60">
        <f>+G80+8</f>
        <v>45101</v>
      </c>
      <c r="J80" s="62">
        <f>H80+TIME(F80,0,0)</f>
        <v>1.8048611111111112</v>
      </c>
      <c r="K80" s="56" t="s">
        <v>134</v>
      </c>
      <c r="L80" s="56" t="s">
        <v>199</v>
      </c>
      <c r="M80" s="63" t="s">
        <v>114</v>
      </c>
      <c r="N80" s="44"/>
      <c r="O80" s="44"/>
      <c r="P80" s="44"/>
      <c r="Q80" s="44"/>
      <c r="R80" s="44"/>
      <c r="S80" s="44"/>
      <c r="T80" s="44"/>
      <c r="U80" s="44"/>
      <c r="V80" s="44"/>
      <c r="W80" s="44"/>
      <c r="X80" s="44"/>
      <c r="Y80" s="44"/>
      <c r="Z80" s="44"/>
      <c r="AA80" s="44"/>
    </row>
    <row r="81" spans="2:26" x14ac:dyDescent="0.25">
      <c r="D81" s="283" t="s">
        <v>184</v>
      </c>
      <c r="E81" s="283"/>
      <c r="F81" s="233">
        <v>4168.88</v>
      </c>
      <c r="G81" s="136"/>
      <c r="H81" s="51"/>
      <c r="I81" s="51"/>
      <c r="J81" s="51"/>
      <c r="K81" s="57"/>
      <c r="L81" s="57"/>
      <c r="M81" s="51"/>
      <c r="N81" s="51"/>
      <c r="O81" s="51"/>
    </row>
    <row r="82" spans="2:26" x14ac:dyDescent="0.25">
      <c r="F82" s="299"/>
      <c r="G82" s="299"/>
      <c r="H82" s="51"/>
      <c r="I82" s="51"/>
      <c r="J82" s="51"/>
      <c r="K82" s="57"/>
      <c r="L82" s="57"/>
      <c r="M82" s="51"/>
      <c r="N82" s="51"/>
      <c r="O82" s="51"/>
    </row>
    <row r="83" spans="2:26" x14ac:dyDescent="0.25">
      <c r="F83" s="51"/>
      <c r="G83" s="51"/>
      <c r="H83" s="51"/>
      <c r="I83" s="51"/>
      <c r="J83" s="50" t="s">
        <v>149</v>
      </c>
      <c r="K83" s="57"/>
      <c r="L83" s="57"/>
      <c r="M83" s="51"/>
    </row>
    <row r="84" spans="2:26" x14ac:dyDescent="0.25">
      <c r="F84" s="303"/>
      <c r="G84" s="303"/>
      <c r="H84" s="52"/>
      <c r="I84" s="303"/>
      <c r="J84" s="303"/>
      <c r="K84" s="303"/>
      <c r="L84" s="58"/>
      <c r="M84" s="51"/>
      <c r="N84" s="51"/>
      <c r="O84" s="51"/>
    </row>
    <row r="85" spans="2:26" x14ac:dyDescent="0.25">
      <c r="F85" s="299"/>
      <c r="G85" s="299"/>
      <c r="H85" s="51"/>
      <c r="I85" s="51"/>
      <c r="J85" s="51"/>
      <c r="K85" s="57"/>
      <c r="L85" s="57"/>
      <c r="M85" s="51"/>
      <c r="N85" s="51"/>
      <c r="O85" s="51"/>
    </row>
    <row r="86" spans="2:26" x14ac:dyDescent="0.25">
      <c r="B86" s="44"/>
      <c r="C86" s="44"/>
      <c r="D86" s="44"/>
      <c r="E86" s="44"/>
      <c r="F86" s="44"/>
      <c r="G86" s="44"/>
      <c r="H86" s="44"/>
      <c r="I86" s="44"/>
      <c r="J86" s="44"/>
      <c r="K86" s="44"/>
      <c r="L86" s="44"/>
      <c r="M86" s="44"/>
      <c r="N86" s="44"/>
      <c r="O86" s="44"/>
      <c r="P86" s="44"/>
      <c r="Q86" s="44"/>
      <c r="R86" s="44"/>
      <c r="S86" s="44"/>
      <c r="T86" s="44"/>
      <c r="U86" s="44"/>
      <c r="Y86" s="135">
        <v>4168.88</v>
      </c>
      <c r="Z86" s="65"/>
    </row>
    <row r="87" spans="2:26" x14ac:dyDescent="0.25">
      <c r="B87" s="304" t="s">
        <v>204</v>
      </c>
      <c r="C87" s="304"/>
      <c r="D87" s="44"/>
      <c r="E87" s="304" t="s">
        <v>205</v>
      </c>
      <c r="F87" s="300"/>
      <c r="G87" s="44"/>
      <c r="H87" s="300" t="s">
        <v>206</v>
      </c>
      <c r="I87" s="300"/>
      <c r="J87" s="44"/>
      <c r="K87" s="111" t="s">
        <v>161</v>
      </c>
      <c r="M87" s="63" t="s">
        <v>290</v>
      </c>
      <c r="P87" s="300" t="s">
        <v>291</v>
      </c>
      <c r="Q87" s="300"/>
      <c r="R87" s="44"/>
      <c r="U87" s="300" t="s">
        <v>292</v>
      </c>
      <c r="V87" s="300"/>
      <c r="Y87" s="300" t="s">
        <v>293</v>
      </c>
      <c r="Z87" s="300"/>
    </row>
    <row r="88" spans="2:26" x14ac:dyDescent="0.25">
      <c r="B88" s="44"/>
      <c r="C88" s="44"/>
      <c r="D88" s="44"/>
      <c r="E88" s="44"/>
      <c r="F88" s="44"/>
      <c r="G88" s="44"/>
      <c r="H88" s="44"/>
      <c r="I88" s="44"/>
      <c r="J88" s="44"/>
      <c r="K88" s="44"/>
      <c r="L88" s="44"/>
      <c r="M88" s="44"/>
      <c r="N88" s="44"/>
      <c r="O88" s="44"/>
      <c r="P88" s="44"/>
      <c r="Q88" s="44"/>
      <c r="R88" s="44"/>
      <c r="S88" s="44"/>
      <c r="T88" s="44"/>
      <c r="U88" s="44"/>
      <c r="V88" s="44"/>
      <c r="W88" s="44"/>
    </row>
    <row r="89" spans="2:26" x14ac:dyDescent="0.25">
      <c r="B89" s="44"/>
      <c r="C89" s="44"/>
      <c r="D89" s="44"/>
      <c r="E89" s="44"/>
      <c r="F89" s="44"/>
      <c r="G89" s="44"/>
      <c r="H89" s="44"/>
      <c r="I89" s="44"/>
      <c r="J89" s="44"/>
      <c r="K89" s="44"/>
      <c r="L89" s="44"/>
      <c r="M89" s="44"/>
      <c r="N89" s="44"/>
      <c r="O89" s="44"/>
      <c r="P89" s="44"/>
      <c r="Q89" s="44"/>
      <c r="R89" s="44"/>
      <c r="S89" s="44"/>
      <c r="T89" s="44"/>
      <c r="U89" s="44"/>
      <c r="V89" s="44"/>
      <c r="W89" s="44"/>
    </row>
    <row r="90" spans="2:26" x14ac:dyDescent="0.25">
      <c r="K90"/>
      <c r="L90"/>
    </row>
    <row r="91" spans="2:26" x14ac:dyDescent="0.25">
      <c r="K91"/>
      <c r="L91"/>
    </row>
    <row r="92" spans="2:26" x14ac:dyDescent="0.25">
      <c r="H92" s="50"/>
      <c r="K92"/>
      <c r="L92"/>
    </row>
    <row r="93" spans="2:26" x14ac:dyDescent="0.25">
      <c r="B93" s="297" t="s">
        <v>185</v>
      </c>
      <c r="C93" s="297"/>
      <c r="E93" s="297" t="s">
        <v>188</v>
      </c>
      <c r="F93" s="297"/>
      <c r="H93" s="297" t="s">
        <v>189</v>
      </c>
      <c r="I93" s="297"/>
      <c r="K93" s="109" t="s">
        <v>190</v>
      </c>
      <c r="L93" s="15"/>
      <c r="M93" s="50" t="s">
        <v>192</v>
      </c>
      <c r="P93" s="297" t="s">
        <v>195</v>
      </c>
      <c r="Q93" s="297"/>
      <c r="U93" s="297" t="s">
        <v>135</v>
      </c>
      <c r="V93" s="297"/>
      <c r="Y93" s="297" t="s">
        <v>136</v>
      </c>
      <c r="Z93" s="297"/>
    </row>
    <row r="94" spans="2:26" x14ac:dyDescent="0.25">
      <c r="B94" s="297" t="s">
        <v>186</v>
      </c>
      <c r="C94" s="297"/>
      <c r="E94" s="297" t="s">
        <v>187</v>
      </c>
      <c r="F94" s="297"/>
      <c r="H94" s="297" t="s">
        <v>120</v>
      </c>
      <c r="I94" s="297"/>
      <c r="K94" s="50" t="s">
        <v>191</v>
      </c>
      <c r="L94" s="15"/>
      <c r="M94" s="50" t="s">
        <v>193</v>
      </c>
      <c r="P94" s="297" t="s">
        <v>194</v>
      </c>
      <c r="Q94" s="297"/>
      <c r="U94" s="297" t="s">
        <v>196</v>
      </c>
      <c r="V94" s="297"/>
    </row>
    <row r="98" spans="4:27" x14ac:dyDescent="0.25">
      <c r="D98" s="297" t="s">
        <v>145</v>
      </c>
      <c r="E98" s="297"/>
      <c r="F98" s="297"/>
      <c r="J98" s="297" t="s">
        <v>146</v>
      </c>
      <c r="K98" s="297"/>
      <c r="M98" s="15"/>
      <c r="P98" s="15"/>
      <c r="Q98" s="15"/>
      <c r="T98" s="15" t="s">
        <v>147</v>
      </c>
      <c r="AA98" s="50" t="s">
        <v>184</v>
      </c>
    </row>
    <row r="121" spans="1:27" ht="42.75" customHeight="1" x14ac:dyDescent="0.25"/>
    <row r="123" spans="1:27" x14ac:dyDescent="0.25">
      <c r="D123" s="283" t="s">
        <v>140</v>
      </c>
      <c r="E123" s="283"/>
      <c r="F123" s="283"/>
      <c r="G123" s="283"/>
      <c r="H123" s="283"/>
      <c r="I123" s="283"/>
      <c r="J123" s="283"/>
      <c r="K123" s="283"/>
      <c r="L123" s="283"/>
      <c r="M123" s="283"/>
      <c r="AA123" s="50"/>
    </row>
    <row r="124" spans="1:27" x14ac:dyDescent="0.25">
      <c r="D124" s="283" t="s">
        <v>110</v>
      </c>
      <c r="E124" s="283"/>
      <c r="F124" s="48" t="s">
        <v>111</v>
      </c>
      <c r="G124" s="48" t="s">
        <v>112</v>
      </c>
      <c r="H124" s="48" t="s">
        <v>197</v>
      </c>
      <c r="I124" s="48" t="s">
        <v>113</v>
      </c>
      <c r="J124" s="48"/>
      <c r="K124" s="56" t="s">
        <v>116</v>
      </c>
      <c r="L124" s="56" t="s">
        <v>115</v>
      </c>
      <c r="M124" s="46" t="s">
        <v>117</v>
      </c>
      <c r="Z124" s="15"/>
      <c r="AA124" s="15"/>
    </row>
    <row r="125" spans="1:27" x14ac:dyDescent="0.25">
      <c r="D125" s="256" t="s">
        <v>109</v>
      </c>
      <c r="E125" s="258"/>
      <c r="F125" s="48" t="s">
        <v>114</v>
      </c>
      <c r="G125" s="49">
        <f>+G65+12</f>
        <v>45093</v>
      </c>
      <c r="H125" s="55">
        <v>0.29166666666666669</v>
      </c>
      <c r="I125" s="48" t="s">
        <v>114</v>
      </c>
      <c r="J125" s="48"/>
      <c r="K125" s="56" t="s">
        <v>114</v>
      </c>
      <c r="L125" s="56" t="s">
        <v>114</v>
      </c>
      <c r="M125" s="48" t="s">
        <v>114</v>
      </c>
    </row>
    <row r="126" spans="1:27" x14ac:dyDescent="0.25">
      <c r="D126" s="256" t="s">
        <v>108</v>
      </c>
      <c r="E126" s="258"/>
      <c r="F126" s="53">
        <v>12</v>
      </c>
      <c r="G126" s="49">
        <f>G125</f>
        <v>45093</v>
      </c>
      <c r="H126" s="55">
        <f>H125</f>
        <v>0.29166666666666669</v>
      </c>
      <c r="I126" s="49">
        <f>G126+TIME(F126,0,0)</f>
        <v>45093.5</v>
      </c>
      <c r="J126" s="54">
        <f>H126+TIME(F126,0,0)</f>
        <v>0.79166666666666674</v>
      </c>
      <c r="K126" s="56" t="s">
        <v>114</v>
      </c>
      <c r="L126" s="56" t="s">
        <v>114</v>
      </c>
      <c r="M126" s="48" t="s">
        <v>114</v>
      </c>
    </row>
    <row r="127" spans="1:27" ht="30" x14ac:dyDescent="0.25">
      <c r="A127" s="44"/>
      <c r="B127" s="44"/>
      <c r="C127" s="44"/>
      <c r="D127" s="301" t="s">
        <v>119</v>
      </c>
      <c r="E127" s="302"/>
      <c r="F127" s="59">
        <v>2.361111111111111E-2</v>
      </c>
      <c r="G127" s="60">
        <f>I126</f>
        <v>45093.5</v>
      </c>
      <c r="H127" s="61">
        <f>J126</f>
        <v>0.79166666666666674</v>
      </c>
      <c r="I127" s="60">
        <f>+G127</f>
        <v>45093.5</v>
      </c>
      <c r="J127" s="62">
        <f>H127+TIME(F127,34,0)</f>
        <v>0.81527777777777788</v>
      </c>
      <c r="K127" s="56" t="s">
        <v>199</v>
      </c>
      <c r="L127" s="56" t="s">
        <v>200</v>
      </c>
      <c r="M127" s="63" t="s">
        <v>123</v>
      </c>
      <c r="N127" s="44"/>
      <c r="O127" s="44"/>
      <c r="P127" s="44"/>
      <c r="Q127" s="44"/>
      <c r="R127" s="44"/>
      <c r="S127" s="44"/>
      <c r="T127" s="44"/>
      <c r="U127" s="44"/>
      <c r="V127" s="44"/>
      <c r="W127" s="44"/>
      <c r="X127" s="44"/>
      <c r="Y127" s="44"/>
      <c r="Z127" s="44"/>
      <c r="AA127" s="44"/>
    </row>
    <row r="128" spans="1:27" s="123" customFormat="1" ht="30" x14ac:dyDescent="0.25">
      <c r="D128" s="284" t="s">
        <v>120</v>
      </c>
      <c r="E128" s="286"/>
      <c r="F128" s="128">
        <f>5*24</f>
        <v>120</v>
      </c>
      <c r="G128" s="125">
        <f>I127</f>
        <v>45093.5</v>
      </c>
      <c r="H128" s="126">
        <f>J127</f>
        <v>0.81527777777777788</v>
      </c>
      <c r="I128" s="125">
        <f>+G128+5</f>
        <v>45098.5</v>
      </c>
      <c r="J128" s="127">
        <f>H128+TIME(F128,0,0)</f>
        <v>0.81527777777777788</v>
      </c>
      <c r="K128" s="112" t="s">
        <v>200</v>
      </c>
      <c r="L128" s="112" t="s">
        <v>200</v>
      </c>
      <c r="M128" s="108" t="s">
        <v>280</v>
      </c>
    </row>
    <row r="129" spans="1:27" s="123" customFormat="1" ht="31.5" customHeight="1" x14ac:dyDescent="0.25">
      <c r="D129" s="261" t="s">
        <v>275</v>
      </c>
      <c r="E129" s="262"/>
      <c r="F129" s="128">
        <v>8</v>
      </c>
      <c r="G129" s="125">
        <v>45099</v>
      </c>
      <c r="H129" s="126">
        <v>0.95486111111111116</v>
      </c>
      <c r="I129" s="125">
        <f>+G129+1</f>
        <v>45100</v>
      </c>
      <c r="J129" s="127">
        <f>H129+TIME(F129,0,0)</f>
        <v>1.2881944444444444</v>
      </c>
      <c r="K129" s="309" t="s">
        <v>200</v>
      </c>
      <c r="L129" s="309" t="s">
        <v>80</v>
      </c>
      <c r="M129" s="312" t="s">
        <v>280</v>
      </c>
    </row>
    <row r="130" spans="1:27" x14ac:dyDescent="0.25">
      <c r="A130" s="44"/>
      <c r="B130" s="44"/>
      <c r="C130" s="44"/>
      <c r="D130" s="301" t="s">
        <v>274</v>
      </c>
      <c r="E130" s="302"/>
      <c r="F130" s="128">
        <v>6</v>
      </c>
      <c r="G130" s="107">
        <v>45100</v>
      </c>
      <c r="H130" s="126">
        <v>0.28819444444444448</v>
      </c>
      <c r="I130" s="125">
        <f>+G130</f>
        <v>45100</v>
      </c>
      <c r="J130" s="62">
        <f t="shared" ref="J130:J137" si="4">H130+TIME(F130,0,0)</f>
        <v>0.53819444444444442</v>
      </c>
      <c r="K130" s="310"/>
      <c r="L130" s="310"/>
      <c r="M130" s="313"/>
      <c r="N130" s="44"/>
      <c r="O130" s="44"/>
      <c r="P130" s="44"/>
      <c r="Q130" s="44"/>
      <c r="R130" s="44"/>
      <c r="S130" s="44"/>
      <c r="T130" s="44"/>
      <c r="U130" s="44"/>
      <c r="V130" s="44"/>
      <c r="W130" s="44"/>
      <c r="X130" s="44"/>
      <c r="Y130" s="44"/>
      <c r="Z130" s="44"/>
      <c r="AA130" s="44"/>
    </row>
    <row r="131" spans="1:27" x14ac:dyDescent="0.25">
      <c r="A131" s="44"/>
      <c r="B131" s="44"/>
      <c r="C131" s="44"/>
      <c r="D131" s="301" t="s">
        <v>276</v>
      </c>
      <c r="E131" s="302"/>
      <c r="F131" s="128">
        <v>9</v>
      </c>
      <c r="G131" s="110">
        <v>45100</v>
      </c>
      <c r="H131" s="126">
        <v>0.64236111111111105</v>
      </c>
      <c r="I131" s="125">
        <f t="shared" ref="I131:I137" si="5">+G131+1</f>
        <v>45101</v>
      </c>
      <c r="J131" s="62">
        <f t="shared" si="4"/>
        <v>1.0173611111111112</v>
      </c>
      <c r="K131" s="310"/>
      <c r="L131" s="310"/>
      <c r="M131" s="313"/>
      <c r="N131" s="44"/>
      <c r="O131" s="44"/>
      <c r="P131" s="44"/>
      <c r="Q131" s="44"/>
      <c r="R131" s="44"/>
      <c r="S131" s="44"/>
      <c r="T131" s="44"/>
      <c r="U131" s="44"/>
      <c r="V131" s="44"/>
      <c r="W131" s="44"/>
      <c r="X131" s="44"/>
      <c r="Y131" s="44"/>
      <c r="Z131" s="44"/>
      <c r="AA131" s="44"/>
    </row>
    <row r="132" spans="1:27" x14ac:dyDescent="0.25">
      <c r="A132" s="44"/>
      <c r="B132" s="44"/>
      <c r="C132" s="44"/>
      <c r="D132" s="301" t="s">
        <v>277</v>
      </c>
      <c r="E132" s="302"/>
      <c r="F132" s="128">
        <v>6</v>
      </c>
      <c r="G132" s="110">
        <v>45100</v>
      </c>
      <c r="H132" s="126">
        <v>0.64583333333333337</v>
      </c>
      <c r="I132" s="125">
        <f>+G132</f>
        <v>45100</v>
      </c>
      <c r="J132" s="62">
        <f t="shared" si="4"/>
        <v>0.89583333333333337</v>
      </c>
      <c r="K132" s="310"/>
      <c r="L132" s="310"/>
      <c r="M132" s="313"/>
      <c r="N132" s="44"/>
      <c r="O132" s="44"/>
      <c r="P132" s="44"/>
      <c r="Q132" s="44"/>
      <c r="R132" s="44"/>
      <c r="S132" s="44"/>
      <c r="T132" s="44"/>
      <c r="U132" s="44"/>
      <c r="V132" s="44"/>
      <c r="W132" s="44"/>
      <c r="X132" s="44"/>
      <c r="Y132" s="44"/>
      <c r="Z132" s="44"/>
      <c r="AA132" s="44"/>
    </row>
    <row r="133" spans="1:27" x14ac:dyDescent="0.25">
      <c r="A133" s="44"/>
      <c r="B133" s="44"/>
      <c r="C133" s="44"/>
      <c r="D133" s="301" t="s">
        <v>278</v>
      </c>
      <c r="E133" s="302"/>
      <c r="F133" s="128">
        <v>11</v>
      </c>
      <c r="G133" s="110">
        <v>45100</v>
      </c>
      <c r="H133" s="126">
        <v>0.70833333333333337</v>
      </c>
      <c r="I133" s="125">
        <f t="shared" si="5"/>
        <v>45101</v>
      </c>
      <c r="J133" s="62">
        <f t="shared" si="4"/>
        <v>1.1666666666666667</v>
      </c>
      <c r="K133" s="310"/>
      <c r="L133" s="310"/>
      <c r="M133" s="313"/>
      <c r="N133" s="44"/>
      <c r="O133" s="44"/>
      <c r="P133" s="44"/>
      <c r="Q133" s="44"/>
      <c r="R133" s="44"/>
      <c r="S133" s="44"/>
      <c r="T133" s="44"/>
      <c r="U133" s="44"/>
      <c r="V133" s="44"/>
      <c r="W133" s="44"/>
      <c r="X133" s="44"/>
      <c r="Y133" s="44"/>
      <c r="Z133" s="44"/>
      <c r="AA133" s="44"/>
    </row>
    <row r="134" spans="1:27" x14ac:dyDescent="0.25">
      <c r="A134" s="44"/>
      <c r="B134" s="44"/>
      <c r="C134" s="44"/>
      <c r="D134" s="301" t="s">
        <v>281</v>
      </c>
      <c r="E134" s="302"/>
      <c r="F134" s="128">
        <v>11</v>
      </c>
      <c r="G134" s="110">
        <v>45100</v>
      </c>
      <c r="H134" s="126">
        <v>0.71250000000000002</v>
      </c>
      <c r="I134" s="125">
        <f t="shared" si="5"/>
        <v>45101</v>
      </c>
      <c r="J134" s="62">
        <f t="shared" si="4"/>
        <v>1.1708333333333334</v>
      </c>
      <c r="K134" s="310"/>
      <c r="L134" s="310"/>
      <c r="M134" s="313"/>
      <c r="N134" s="44"/>
      <c r="O134" s="44"/>
      <c r="P134" s="44"/>
      <c r="Q134" s="44"/>
      <c r="R134" s="44"/>
      <c r="S134" s="44"/>
      <c r="T134" s="44"/>
      <c r="U134" s="44"/>
      <c r="V134" s="44"/>
      <c r="W134" s="44"/>
      <c r="X134" s="44"/>
      <c r="Y134" s="44"/>
      <c r="Z134" s="44"/>
      <c r="AA134" s="44"/>
    </row>
    <row r="135" spans="1:27" x14ac:dyDescent="0.25">
      <c r="A135" s="44"/>
      <c r="B135" s="44"/>
      <c r="C135" s="44"/>
      <c r="D135" s="301" t="s">
        <v>282</v>
      </c>
      <c r="E135" s="302"/>
      <c r="F135" s="128">
        <v>10</v>
      </c>
      <c r="G135" s="110">
        <v>45100</v>
      </c>
      <c r="H135" s="126">
        <v>0.73055555555555562</v>
      </c>
      <c r="I135" s="125">
        <f t="shared" si="5"/>
        <v>45101</v>
      </c>
      <c r="J135" s="62">
        <f t="shared" si="4"/>
        <v>1.1472222222222224</v>
      </c>
      <c r="K135" s="310"/>
      <c r="L135" s="310"/>
      <c r="M135" s="313"/>
      <c r="N135" s="44"/>
      <c r="O135" s="44"/>
      <c r="P135" s="44"/>
      <c r="Q135" s="44"/>
      <c r="R135" s="44"/>
      <c r="S135" s="44"/>
      <c r="T135" s="44"/>
      <c r="U135" s="44"/>
      <c r="V135" s="44"/>
      <c r="W135" s="44"/>
      <c r="X135" s="44"/>
      <c r="Y135" s="44"/>
      <c r="Z135" s="44"/>
      <c r="AA135" s="44"/>
    </row>
    <row r="136" spans="1:27" x14ac:dyDescent="0.25">
      <c r="A136" s="44"/>
      <c r="B136" s="44"/>
      <c r="C136" s="44"/>
      <c r="D136" s="301" t="s">
        <v>283</v>
      </c>
      <c r="E136" s="302"/>
      <c r="F136" s="128">
        <v>9</v>
      </c>
      <c r="G136" s="110">
        <v>45100</v>
      </c>
      <c r="H136" s="126">
        <v>0.73958333333333337</v>
      </c>
      <c r="I136" s="125">
        <f t="shared" si="5"/>
        <v>45101</v>
      </c>
      <c r="J136" s="62">
        <f t="shared" si="4"/>
        <v>1.1145833333333335</v>
      </c>
      <c r="K136" s="310"/>
      <c r="L136" s="310"/>
      <c r="M136" s="313"/>
      <c r="N136" s="44"/>
      <c r="O136" s="44"/>
      <c r="P136" s="44"/>
      <c r="Q136" s="44"/>
      <c r="R136" s="44"/>
      <c r="S136" s="44"/>
      <c r="T136" s="44"/>
      <c r="U136" s="44"/>
      <c r="V136" s="44"/>
      <c r="W136" s="44"/>
      <c r="X136" s="44"/>
      <c r="Y136" s="44"/>
      <c r="Z136" s="44"/>
      <c r="AA136" s="44"/>
    </row>
    <row r="137" spans="1:27" x14ac:dyDescent="0.25">
      <c r="A137" s="44"/>
      <c r="B137" s="44"/>
      <c r="C137" s="44"/>
      <c r="D137" s="301" t="s">
        <v>284</v>
      </c>
      <c r="E137" s="302"/>
      <c r="F137" s="128">
        <v>8</v>
      </c>
      <c r="G137" s="110">
        <v>45100</v>
      </c>
      <c r="H137" s="126">
        <v>0.84097222222222223</v>
      </c>
      <c r="I137" s="125">
        <f t="shared" si="5"/>
        <v>45101</v>
      </c>
      <c r="J137" s="62">
        <f t="shared" si="4"/>
        <v>1.1743055555555555</v>
      </c>
      <c r="K137" s="311"/>
      <c r="L137" s="311"/>
      <c r="M137" s="314"/>
      <c r="N137" s="44"/>
      <c r="O137" s="44"/>
      <c r="P137" s="44"/>
      <c r="Q137" s="44"/>
      <c r="R137" s="44"/>
      <c r="S137" s="44"/>
      <c r="T137" s="44"/>
      <c r="U137" s="44"/>
      <c r="V137" s="44"/>
      <c r="W137" s="44"/>
      <c r="X137" s="44"/>
      <c r="Y137" s="44"/>
      <c r="Z137" s="44"/>
      <c r="AA137" s="44"/>
    </row>
    <row r="138" spans="1:27" x14ac:dyDescent="0.25">
      <c r="A138" s="44"/>
      <c r="B138" s="44"/>
      <c r="C138" s="44"/>
      <c r="D138" s="301" t="s">
        <v>129</v>
      </c>
      <c r="E138" s="302"/>
      <c r="F138" s="64">
        <f>3*24</f>
        <v>72</v>
      </c>
      <c r="G138" s="60">
        <f>I137</f>
        <v>45101</v>
      </c>
      <c r="H138" s="61">
        <f>J129</f>
        <v>1.2881944444444444</v>
      </c>
      <c r="I138" s="60">
        <f>+G138+3</f>
        <v>45104</v>
      </c>
      <c r="J138" s="62">
        <f>H138+TIME(F138,0,0)</f>
        <v>1.2881944444444444</v>
      </c>
      <c r="K138" s="56" t="s">
        <v>80</v>
      </c>
      <c r="L138" s="56" t="s">
        <v>80</v>
      </c>
      <c r="M138" s="63" t="s">
        <v>131</v>
      </c>
      <c r="N138" s="44"/>
      <c r="O138" s="44"/>
      <c r="P138" s="44"/>
      <c r="Q138" s="44"/>
      <c r="R138" s="44"/>
      <c r="S138" s="44"/>
      <c r="T138" s="44"/>
      <c r="U138" s="44"/>
      <c r="V138" s="44"/>
      <c r="W138" s="44"/>
      <c r="X138" s="44"/>
      <c r="Y138" s="44"/>
      <c r="Z138" s="44"/>
      <c r="AA138" s="44"/>
    </row>
    <row r="139" spans="1:27" x14ac:dyDescent="0.25">
      <c r="A139" s="44"/>
      <c r="B139" s="44"/>
      <c r="C139" s="44"/>
      <c r="D139" s="301" t="s">
        <v>132</v>
      </c>
      <c r="E139" s="302"/>
      <c r="F139" s="59" t="s">
        <v>198</v>
      </c>
      <c r="G139" s="60">
        <f t="shared" ref="G139:H141" si="6">I138</f>
        <v>45104</v>
      </c>
      <c r="H139" s="61">
        <f t="shared" si="6"/>
        <v>1.2881944444444444</v>
      </c>
      <c r="I139" s="60">
        <f>G139</f>
        <v>45104</v>
      </c>
      <c r="J139" s="62">
        <f>H139+TIME(2,24,0)</f>
        <v>1.3881944444444445</v>
      </c>
      <c r="K139" s="56" t="s">
        <v>80</v>
      </c>
      <c r="L139" s="56" t="s">
        <v>134</v>
      </c>
      <c r="M139" s="63" t="s">
        <v>114</v>
      </c>
      <c r="N139" s="44"/>
      <c r="O139" s="44"/>
      <c r="P139" s="44"/>
      <c r="Q139" s="65"/>
      <c r="R139" s="44"/>
      <c r="S139" s="44"/>
      <c r="T139" s="44"/>
      <c r="U139" s="44"/>
      <c r="V139" s="44"/>
      <c r="W139" s="44"/>
      <c r="X139" s="44"/>
      <c r="Y139" s="44"/>
      <c r="Z139" s="44"/>
      <c r="AA139" s="44"/>
    </row>
    <row r="140" spans="1:27" x14ac:dyDescent="0.25">
      <c r="A140" s="44"/>
      <c r="B140" s="44"/>
      <c r="C140" s="44"/>
      <c r="D140" s="301" t="s">
        <v>135</v>
      </c>
      <c r="E140" s="302"/>
      <c r="F140" s="64">
        <v>12</v>
      </c>
      <c r="G140" s="60">
        <f t="shared" si="6"/>
        <v>45104</v>
      </c>
      <c r="H140" s="61">
        <f t="shared" si="6"/>
        <v>1.3881944444444445</v>
      </c>
      <c r="I140" s="60">
        <f>+G140+1</f>
        <v>45105</v>
      </c>
      <c r="J140" s="62">
        <f>H140+TIME(F140,0,0)</f>
        <v>1.8881944444444445</v>
      </c>
      <c r="K140" s="56" t="s">
        <v>134</v>
      </c>
      <c r="L140" s="56" t="s">
        <v>134</v>
      </c>
      <c r="M140" s="63" t="s">
        <v>138</v>
      </c>
      <c r="N140" s="44"/>
      <c r="O140" s="44"/>
      <c r="P140" s="44"/>
      <c r="Q140" s="44"/>
      <c r="R140" s="44"/>
      <c r="S140" s="44"/>
      <c r="T140" s="44"/>
      <c r="U140" s="44"/>
      <c r="V140" s="44"/>
      <c r="W140" s="44"/>
      <c r="X140" s="44"/>
      <c r="Y140" s="44"/>
      <c r="Z140" s="44"/>
      <c r="AA140" s="44"/>
    </row>
    <row r="141" spans="1:27" x14ac:dyDescent="0.25">
      <c r="A141" s="44"/>
      <c r="B141" s="44"/>
      <c r="C141" s="44"/>
      <c r="D141" s="301" t="s">
        <v>136</v>
      </c>
      <c r="E141" s="302"/>
      <c r="F141" s="64">
        <f>8*24</f>
        <v>192</v>
      </c>
      <c r="G141" s="60">
        <f t="shared" si="6"/>
        <v>45105</v>
      </c>
      <c r="H141" s="61">
        <f t="shared" si="6"/>
        <v>1.8881944444444445</v>
      </c>
      <c r="I141" s="60">
        <f>+G141+8</f>
        <v>45113</v>
      </c>
      <c r="J141" s="62">
        <f>H141+TIME(F141,0,0)</f>
        <v>1.8881944444444445</v>
      </c>
      <c r="K141" s="56" t="s">
        <v>134</v>
      </c>
      <c r="L141" s="56" t="s">
        <v>199</v>
      </c>
      <c r="M141" s="63" t="s">
        <v>114</v>
      </c>
      <c r="N141" s="44"/>
      <c r="O141" s="44"/>
      <c r="P141" s="44"/>
      <c r="Q141" s="44"/>
      <c r="R141" s="44"/>
      <c r="S141" s="44"/>
      <c r="T141" s="44"/>
      <c r="U141" s="44"/>
      <c r="V141" s="44"/>
      <c r="W141" s="44"/>
      <c r="X141" s="44"/>
      <c r="Y141" s="44"/>
      <c r="Z141" s="44"/>
      <c r="AA141" s="44"/>
    </row>
    <row r="142" spans="1:27" x14ac:dyDescent="0.25">
      <c r="D142" s="283" t="s">
        <v>184</v>
      </c>
      <c r="E142" s="283"/>
      <c r="F142" s="233">
        <v>4128.08</v>
      </c>
      <c r="G142" s="136"/>
      <c r="H142" s="51"/>
      <c r="I142" s="51"/>
      <c r="J142" s="51"/>
      <c r="K142" s="57"/>
      <c r="L142" s="57"/>
      <c r="M142" s="51"/>
      <c r="N142" s="51"/>
      <c r="O142" s="51"/>
    </row>
    <row r="143" spans="1:27" x14ac:dyDescent="0.25">
      <c r="F143" s="299"/>
      <c r="G143" s="299"/>
      <c r="H143" s="51"/>
      <c r="I143" s="51"/>
      <c r="J143" s="51"/>
      <c r="K143" s="57"/>
      <c r="L143" s="57"/>
      <c r="M143" s="51"/>
      <c r="N143" s="51"/>
      <c r="O143" s="51"/>
    </row>
    <row r="144" spans="1:27" x14ac:dyDescent="0.25">
      <c r="F144" s="51"/>
      <c r="G144" s="51"/>
      <c r="H144" s="51"/>
      <c r="I144" s="51"/>
      <c r="J144" s="50" t="s">
        <v>150</v>
      </c>
      <c r="K144" s="57"/>
      <c r="L144" s="57"/>
      <c r="M144" s="51"/>
    </row>
    <row r="145" spans="2:26" x14ac:dyDescent="0.25">
      <c r="F145" s="303"/>
      <c r="G145" s="303"/>
      <c r="H145" s="52"/>
      <c r="I145" s="303"/>
      <c r="J145" s="303"/>
      <c r="K145" s="303"/>
      <c r="L145" s="58"/>
      <c r="M145" s="51"/>
      <c r="N145" s="51"/>
      <c r="O145" s="51"/>
    </row>
    <row r="146" spans="2:26" x14ac:dyDescent="0.25">
      <c r="F146" s="299"/>
      <c r="G146" s="299"/>
      <c r="H146" s="51"/>
      <c r="I146" s="51"/>
      <c r="J146" s="51"/>
      <c r="K146" s="57"/>
      <c r="L146" s="57"/>
      <c r="M146" s="51"/>
      <c r="N146" s="51"/>
      <c r="O146" s="51"/>
    </row>
    <row r="147" spans="2:26" x14ac:dyDescent="0.25">
      <c r="B147" s="44"/>
      <c r="C147" s="44"/>
      <c r="D147" s="44"/>
      <c r="E147" s="44"/>
      <c r="F147" s="44"/>
      <c r="G147" s="44"/>
      <c r="H147" s="44"/>
      <c r="I147" s="44"/>
      <c r="J147" s="44"/>
      <c r="K147" s="44"/>
      <c r="L147" s="44"/>
      <c r="M147" s="44"/>
      <c r="N147" s="44"/>
      <c r="O147" s="44"/>
      <c r="P147" s="44"/>
      <c r="Q147" s="44"/>
      <c r="R147" s="44"/>
      <c r="S147" s="44"/>
      <c r="T147" s="44"/>
      <c r="U147" s="44"/>
      <c r="Y147" s="135">
        <v>4128.08</v>
      </c>
      <c r="Z147" s="65"/>
    </row>
    <row r="148" spans="2:26" x14ac:dyDescent="0.25">
      <c r="B148" s="304" t="s">
        <v>207</v>
      </c>
      <c r="C148" s="304"/>
      <c r="D148" s="44"/>
      <c r="E148" s="304" t="s">
        <v>208</v>
      </c>
      <c r="F148" s="300"/>
      <c r="G148" s="44"/>
      <c r="H148" s="300" t="s">
        <v>209</v>
      </c>
      <c r="I148" s="300"/>
      <c r="J148" s="44"/>
      <c r="K148" s="111" t="s">
        <v>294</v>
      </c>
      <c r="M148" s="63" t="s">
        <v>295</v>
      </c>
      <c r="P148" s="300" t="s">
        <v>296</v>
      </c>
      <c r="Q148" s="300"/>
      <c r="R148" s="44"/>
      <c r="U148" s="300" t="s">
        <v>297</v>
      </c>
      <c r="V148" s="300"/>
      <c r="Y148" s="300" t="s">
        <v>298</v>
      </c>
      <c r="Z148" s="300"/>
    </row>
    <row r="149" spans="2:26" x14ac:dyDescent="0.25">
      <c r="B149" s="44"/>
      <c r="C149" s="44"/>
      <c r="D149" s="44"/>
      <c r="E149" s="44"/>
      <c r="F149" s="44"/>
      <c r="G149" s="44"/>
      <c r="H149" s="44"/>
      <c r="I149" s="44"/>
      <c r="J149" s="44"/>
      <c r="K149" s="44"/>
      <c r="L149" s="44"/>
      <c r="M149" s="44"/>
      <c r="N149" s="44"/>
      <c r="O149" s="44"/>
      <c r="P149" s="44"/>
      <c r="Q149" s="44"/>
      <c r="R149" s="44"/>
      <c r="S149" s="44"/>
      <c r="T149" s="44"/>
      <c r="U149" s="44"/>
      <c r="V149" s="44"/>
      <c r="W149" s="44"/>
    </row>
    <row r="150" spans="2:26" x14ac:dyDescent="0.25">
      <c r="B150" s="44"/>
      <c r="C150" s="44"/>
      <c r="D150" s="44"/>
      <c r="E150" s="44"/>
      <c r="F150" s="44"/>
      <c r="G150" s="44"/>
      <c r="H150" s="44"/>
      <c r="I150" s="44"/>
      <c r="J150" s="44"/>
      <c r="K150" s="44"/>
      <c r="L150" s="44"/>
      <c r="M150" s="44"/>
      <c r="N150" s="44"/>
      <c r="O150" s="44"/>
      <c r="P150" s="44"/>
      <c r="Q150" s="44"/>
      <c r="R150" s="44"/>
      <c r="S150" s="44"/>
      <c r="T150" s="44"/>
      <c r="U150" s="44"/>
      <c r="V150" s="44"/>
      <c r="W150" s="44"/>
    </row>
    <row r="151" spans="2:26" x14ac:dyDescent="0.25">
      <c r="K151"/>
      <c r="L151"/>
    </row>
    <row r="152" spans="2:26" x14ac:dyDescent="0.25">
      <c r="K152"/>
      <c r="L152"/>
    </row>
    <row r="153" spans="2:26" x14ac:dyDescent="0.25">
      <c r="H153" s="50"/>
      <c r="K153"/>
      <c r="L153"/>
    </row>
    <row r="154" spans="2:26" x14ac:dyDescent="0.25">
      <c r="B154" s="297" t="s">
        <v>185</v>
      </c>
      <c r="C154" s="297"/>
      <c r="E154" s="297" t="s">
        <v>188</v>
      </c>
      <c r="F154" s="297"/>
      <c r="H154" s="297" t="s">
        <v>189</v>
      </c>
      <c r="I154" s="297"/>
      <c r="K154" s="109" t="s">
        <v>190</v>
      </c>
      <c r="L154" s="15"/>
      <c r="M154" s="50" t="s">
        <v>192</v>
      </c>
      <c r="P154" s="297" t="s">
        <v>195</v>
      </c>
      <c r="Q154" s="297"/>
      <c r="U154" s="297" t="s">
        <v>135</v>
      </c>
      <c r="V154" s="297"/>
      <c r="Y154" s="297" t="s">
        <v>136</v>
      </c>
      <c r="Z154" s="297"/>
    </row>
    <row r="155" spans="2:26" x14ac:dyDescent="0.25">
      <c r="B155" s="297" t="s">
        <v>186</v>
      </c>
      <c r="C155" s="297"/>
      <c r="E155" s="297" t="s">
        <v>187</v>
      </c>
      <c r="F155" s="297"/>
      <c r="H155" s="297" t="s">
        <v>120</v>
      </c>
      <c r="I155" s="297"/>
      <c r="K155" s="50" t="s">
        <v>191</v>
      </c>
      <c r="L155" s="15"/>
      <c r="M155" s="50" t="s">
        <v>193</v>
      </c>
      <c r="P155" s="297" t="s">
        <v>194</v>
      </c>
      <c r="Q155" s="297"/>
      <c r="U155" s="297" t="s">
        <v>196</v>
      </c>
      <c r="V155" s="297"/>
    </row>
    <row r="159" spans="2:26" x14ac:dyDescent="0.25">
      <c r="D159" s="297" t="s">
        <v>145</v>
      </c>
      <c r="E159" s="297"/>
      <c r="F159" s="297"/>
      <c r="L159" s="297" t="s">
        <v>146</v>
      </c>
      <c r="M159" s="297"/>
      <c r="P159" s="15"/>
      <c r="Q159" s="15"/>
      <c r="T159" s="15" t="s">
        <v>147</v>
      </c>
      <c r="Z159" s="50" t="s">
        <v>184</v>
      </c>
    </row>
    <row r="186" spans="4:27" x14ac:dyDescent="0.25">
      <c r="D186" s="283" t="s">
        <v>141</v>
      </c>
      <c r="E186" s="283"/>
      <c r="F186" s="283"/>
      <c r="G186" s="283"/>
      <c r="H186" s="283"/>
      <c r="I186" s="283"/>
      <c r="J186" s="283"/>
      <c r="K186" s="283"/>
      <c r="L186" s="283"/>
      <c r="M186" s="283"/>
      <c r="AA186" s="50"/>
    </row>
    <row r="187" spans="4:27" x14ac:dyDescent="0.25">
      <c r="D187" s="283" t="s">
        <v>110</v>
      </c>
      <c r="E187" s="283"/>
      <c r="F187" s="48" t="s">
        <v>111</v>
      </c>
      <c r="G187" s="48" t="s">
        <v>112</v>
      </c>
      <c r="H187" s="48" t="s">
        <v>197</v>
      </c>
      <c r="I187" s="48" t="s">
        <v>113</v>
      </c>
      <c r="J187" s="48"/>
      <c r="K187" s="56" t="s">
        <v>116</v>
      </c>
      <c r="L187" s="56" t="s">
        <v>115</v>
      </c>
      <c r="M187" s="46" t="s">
        <v>117</v>
      </c>
      <c r="Z187" s="15"/>
      <c r="AA187" s="15"/>
    </row>
    <row r="188" spans="4:27" x14ac:dyDescent="0.25">
      <c r="D188" s="256" t="s">
        <v>109</v>
      </c>
      <c r="E188" s="258"/>
      <c r="F188" s="48" t="s">
        <v>114</v>
      </c>
      <c r="G188" s="49">
        <f>+G125+12</f>
        <v>45105</v>
      </c>
      <c r="H188" s="55">
        <v>0.29166666666666669</v>
      </c>
      <c r="I188" s="48" t="s">
        <v>114</v>
      </c>
      <c r="J188" s="48"/>
      <c r="K188" s="56" t="s">
        <v>114</v>
      </c>
      <c r="L188" s="56" t="s">
        <v>114</v>
      </c>
      <c r="M188" s="48" t="s">
        <v>114</v>
      </c>
    </row>
    <row r="189" spans="4:27" x14ac:dyDescent="0.25">
      <c r="D189" s="256" t="s">
        <v>108</v>
      </c>
      <c r="E189" s="258"/>
      <c r="F189" s="53">
        <v>12</v>
      </c>
      <c r="G189" s="49">
        <f>G188</f>
        <v>45105</v>
      </c>
      <c r="H189" s="55">
        <f>H188</f>
        <v>0.29166666666666669</v>
      </c>
      <c r="I189" s="49">
        <f>G189+TIME(F189,0,0)</f>
        <v>45105.5</v>
      </c>
      <c r="J189" s="54">
        <f>H189+TIME(F189,0,0)</f>
        <v>0.79166666666666674</v>
      </c>
      <c r="K189" s="56" t="s">
        <v>114</v>
      </c>
      <c r="L189" s="56" t="s">
        <v>114</v>
      </c>
      <c r="M189" s="48" t="s">
        <v>114</v>
      </c>
    </row>
    <row r="190" spans="4:27" s="123" customFormat="1" ht="30" x14ac:dyDescent="0.25">
      <c r="D190" s="284" t="s">
        <v>119</v>
      </c>
      <c r="E190" s="286"/>
      <c r="F190" s="124">
        <v>2.361111111111111E-2</v>
      </c>
      <c r="G190" s="125">
        <f>I189</f>
        <v>45105.5</v>
      </c>
      <c r="H190" s="126">
        <f>J189</f>
        <v>0.79166666666666674</v>
      </c>
      <c r="I190" s="125">
        <f>+G190</f>
        <v>45105.5</v>
      </c>
      <c r="J190" s="127">
        <f>H190+TIME(F190,34,0)</f>
        <v>0.81527777777777788</v>
      </c>
      <c r="K190" s="112" t="s">
        <v>199</v>
      </c>
      <c r="L190" s="112" t="s">
        <v>200</v>
      </c>
      <c r="M190" s="108" t="s">
        <v>123</v>
      </c>
    </row>
    <row r="191" spans="4:27" s="123" customFormat="1" ht="30" x14ac:dyDescent="0.25">
      <c r="D191" s="284" t="s">
        <v>120</v>
      </c>
      <c r="E191" s="286"/>
      <c r="F191" s="128">
        <f>5*24</f>
        <v>120</v>
      </c>
      <c r="G191" s="125">
        <f>I190</f>
        <v>45105.5</v>
      </c>
      <c r="H191" s="126">
        <f>J190</f>
        <v>0.81527777777777788</v>
      </c>
      <c r="I191" s="125">
        <f>+G191+5</f>
        <v>45110.5</v>
      </c>
      <c r="J191" s="127">
        <f>H191+TIME(F191,0,0)</f>
        <v>0.81527777777777788</v>
      </c>
      <c r="K191" s="112" t="s">
        <v>200</v>
      </c>
      <c r="L191" s="112" t="s">
        <v>200</v>
      </c>
      <c r="M191" s="108" t="s">
        <v>280</v>
      </c>
    </row>
    <row r="192" spans="4:27" s="123" customFormat="1" ht="28.5" customHeight="1" x14ac:dyDescent="0.25">
      <c r="D192" s="261" t="s">
        <v>275</v>
      </c>
      <c r="E192" s="262"/>
      <c r="F192" s="128">
        <v>8</v>
      </c>
      <c r="G192" s="125">
        <v>45110</v>
      </c>
      <c r="H192" s="126">
        <v>0.95486111111111116</v>
      </c>
      <c r="I192" s="125">
        <f>+G192+1</f>
        <v>45111</v>
      </c>
      <c r="J192" s="127">
        <f>H192+TIME(F192,0,0)</f>
        <v>1.2881944444444444</v>
      </c>
      <c r="K192" s="309" t="s">
        <v>200</v>
      </c>
      <c r="L192" s="309" t="s">
        <v>80</v>
      </c>
      <c r="M192" s="312" t="s">
        <v>280</v>
      </c>
    </row>
    <row r="193" spans="1:27" s="123" customFormat="1" x14ac:dyDescent="0.25">
      <c r="D193" s="284" t="s">
        <v>274</v>
      </c>
      <c r="E193" s="286"/>
      <c r="F193" s="128">
        <v>6</v>
      </c>
      <c r="G193" s="125">
        <v>45110</v>
      </c>
      <c r="H193" s="126">
        <v>0.95486111111111116</v>
      </c>
      <c r="I193" s="125">
        <f t="shared" ref="I193:I198" si="7">+G193+1</f>
        <v>45111</v>
      </c>
      <c r="J193" s="127">
        <f t="shared" ref="J193:J199" si="8">H193+TIME(F193,0,0)</f>
        <v>1.2048611111111112</v>
      </c>
      <c r="K193" s="310"/>
      <c r="L193" s="310"/>
      <c r="M193" s="313"/>
    </row>
    <row r="194" spans="1:27" s="123" customFormat="1" x14ac:dyDescent="0.25">
      <c r="D194" s="284" t="s">
        <v>276</v>
      </c>
      <c r="E194" s="286"/>
      <c r="F194" s="128">
        <v>6</v>
      </c>
      <c r="G194" s="125">
        <v>45111</v>
      </c>
      <c r="H194" s="126">
        <v>0.28819444444444448</v>
      </c>
      <c r="I194" s="125">
        <f>+G194</f>
        <v>45111</v>
      </c>
      <c r="J194" s="127">
        <f t="shared" si="8"/>
        <v>0.53819444444444442</v>
      </c>
      <c r="K194" s="310"/>
      <c r="L194" s="310"/>
      <c r="M194" s="313"/>
    </row>
    <row r="195" spans="1:27" s="123" customFormat="1" x14ac:dyDescent="0.25">
      <c r="D195" s="284" t="s">
        <v>277</v>
      </c>
      <c r="E195" s="286"/>
      <c r="F195" s="128">
        <v>11</v>
      </c>
      <c r="G195" s="125">
        <v>45111</v>
      </c>
      <c r="H195" s="126">
        <v>0.53125</v>
      </c>
      <c r="I195" s="125">
        <f t="shared" si="7"/>
        <v>45112</v>
      </c>
      <c r="J195" s="127">
        <f t="shared" si="8"/>
        <v>0.98958333333333326</v>
      </c>
      <c r="K195" s="310"/>
      <c r="L195" s="310"/>
      <c r="M195" s="313"/>
    </row>
    <row r="196" spans="1:27" s="123" customFormat="1" x14ac:dyDescent="0.25">
      <c r="D196" s="284" t="s">
        <v>278</v>
      </c>
      <c r="E196" s="286"/>
      <c r="F196" s="128">
        <v>13</v>
      </c>
      <c r="G196" s="125">
        <v>45111</v>
      </c>
      <c r="H196" s="126">
        <v>0.56597222222222221</v>
      </c>
      <c r="I196" s="125">
        <f t="shared" si="7"/>
        <v>45112</v>
      </c>
      <c r="J196" s="127">
        <f t="shared" si="8"/>
        <v>1.1076388888888888</v>
      </c>
      <c r="K196" s="310"/>
      <c r="L196" s="310"/>
      <c r="M196" s="313"/>
    </row>
    <row r="197" spans="1:27" s="123" customFormat="1" x14ac:dyDescent="0.25">
      <c r="D197" s="284" t="s">
        <v>281</v>
      </c>
      <c r="E197" s="286"/>
      <c r="F197" s="128">
        <v>11</v>
      </c>
      <c r="G197" s="125">
        <v>45111</v>
      </c>
      <c r="H197" s="126">
        <v>0.62430555555555556</v>
      </c>
      <c r="I197" s="125">
        <f t="shared" si="7"/>
        <v>45112</v>
      </c>
      <c r="J197" s="127">
        <f t="shared" si="8"/>
        <v>1.0826388888888889</v>
      </c>
      <c r="K197" s="310"/>
      <c r="L197" s="310"/>
      <c r="M197" s="313"/>
    </row>
    <row r="198" spans="1:27" s="133" customFormat="1" x14ac:dyDescent="0.25">
      <c r="D198" s="305" t="s">
        <v>282</v>
      </c>
      <c r="E198" s="306"/>
      <c r="F198" s="129">
        <v>6</v>
      </c>
      <c r="G198" s="130">
        <v>45111</v>
      </c>
      <c r="H198" s="131">
        <v>0.64583333333333337</v>
      </c>
      <c r="I198" s="130">
        <f t="shared" si="7"/>
        <v>45112</v>
      </c>
      <c r="J198" s="132">
        <f t="shared" si="8"/>
        <v>0.89583333333333337</v>
      </c>
      <c r="K198" s="310"/>
      <c r="L198" s="310"/>
      <c r="M198" s="313"/>
    </row>
    <row r="199" spans="1:27" s="123" customFormat="1" x14ac:dyDescent="0.25">
      <c r="D199" s="284" t="s">
        <v>283</v>
      </c>
      <c r="E199" s="286"/>
      <c r="F199" s="128">
        <v>11</v>
      </c>
      <c r="G199" s="125">
        <v>45111</v>
      </c>
      <c r="H199" s="126">
        <v>0.65625</v>
      </c>
      <c r="I199" s="125">
        <f>+G199+1</f>
        <v>45112</v>
      </c>
      <c r="J199" s="127">
        <f t="shared" si="8"/>
        <v>1.1145833333333333</v>
      </c>
      <c r="K199" s="310"/>
      <c r="L199" s="310"/>
      <c r="M199" s="313"/>
    </row>
    <row r="200" spans="1:27" x14ac:dyDescent="0.25">
      <c r="A200" s="44"/>
      <c r="B200" s="44"/>
      <c r="C200" s="44"/>
      <c r="D200" s="301" t="s">
        <v>129</v>
      </c>
      <c r="E200" s="302"/>
      <c r="F200" s="64">
        <f>3*24</f>
        <v>72</v>
      </c>
      <c r="G200" s="60">
        <f>I199</f>
        <v>45112</v>
      </c>
      <c r="H200" s="61">
        <f>J192</f>
        <v>1.2881944444444444</v>
      </c>
      <c r="I200" s="60">
        <f>+G200+3</f>
        <v>45115</v>
      </c>
      <c r="J200" s="62">
        <f>H200+TIME(F200,0,0)</f>
        <v>1.2881944444444444</v>
      </c>
      <c r="K200" s="56" t="s">
        <v>80</v>
      </c>
      <c r="L200" s="56" t="s">
        <v>80</v>
      </c>
      <c r="M200" s="63" t="s">
        <v>131</v>
      </c>
      <c r="N200" s="44"/>
      <c r="O200" s="44"/>
      <c r="P200" s="44"/>
      <c r="Q200" s="44"/>
      <c r="R200" s="44"/>
      <c r="S200" s="44"/>
      <c r="T200" s="44"/>
      <c r="U200" s="44"/>
      <c r="V200" s="44"/>
      <c r="W200" s="44"/>
      <c r="X200" s="44"/>
      <c r="Y200" s="44"/>
      <c r="Z200" s="44"/>
      <c r="AA200" s="44"/>
    </row>
    <row r="201" spans="1:27" x14ac:dyDescent="0.25">
      <c r="A201" s="44"/>
      <c r="B201" s="44"/>
      <c r="C201" s="44"/>
      <c r="D201" s="301" t="s">
        <v>132</v>
      </c>
      <c r="E201" s="302"/>
      <c r="F201" s="59" t="s">
        <v>198</v>
      </c>
      <c r="G201" s="60">
        <f>I200</f>
        <v>45115</v>
      </c>
      <c r="H201" s="61">
        <f t="shared" ref="G201:H203" si="9">J200</f>
        <v>1.2881944444444444</v>
      </c>
      <c r="I201" s="60">
        <f>G201</f>
        <v>45115</v>
      </c>
      <c r="J201" s="62">
        <f>H201+TIME(2,24,0)</f>
        <v>1.3881944444444445</v>
      </c>
      <c r="K201" s="56" t="s">
        <v>80</v>
      </c>
      <c r="L201" s="56" t="s">
        <v>134</v>
      </c>
      <c r="M201" s="63" t="s">
        <v>114</v>
      </c>
      <c r="N201" s="44"/>
      <c r="O201" s="44"/>
      <c r="P201" s="44"/>
      <c r="Q201" s="65"/>
      <c r="R201" s="44"/>
      <c r="S201" s="44"/>
      <c r="T201" s="44"/>
      <c r="U201" s="44"/>
      <c r="V201" s="44"/>
      <c r="W201" s="44"/>
      <c r="X201" s="44"/>
      <c r="Y201" s="44"/>
      <c r="Z201" s="44"/>
      <c r="AA201" s="44"/>
    </row>
    <row r="202" spans="1:27" x14ac:dyDescent="0.25">
      <c r="A202" s="44"/>
      <c r="B202" s="44"/>
      <c r="C202" s="44"/>
      <c r="D202" s="301" t="s">
        <v>135</v>
      </c>
      <c r="E202" s="302"/>
      <c r="F202" s="64">
        <v>12</v>
      </c>
      <c r="G202" s="60">
        <f t="shared" si="9"/>
        <v>45115</v>
      </c>
      <c r="H202" s="61">
        <f t="shared" si="9"/>
        <v>1.3881944444444445</v>
      </c>
      <c r="I202" s="60">
        <f>+G202+1</f>
        <v>45116</v>
      </c>
      <c r="J202" s="62">
        <f>H202+TIME(F202,0,0)</f>
        <v>1.8881944444444445</v>
      </c>
      <c r="K202" s="56" t="s">
        <v>134</v>
      </c>
      <c r="L202" s="56" t="s">
        <v>134</v>
      </c>
      <c r="M202" s="63" t="s">
        <v>138</v>
      </c>
      <c r="N202" s="44"/>
      <c r="O202" s="44"/>
      <c r="P202" s="44"/>
      <c r="Q202" s="44"/>
      <c r="R202" s="44"/>
      <c r="S202" s="44"/>
      <c r="T202" s="44"/>
      <c r="U202" s="44"/>
      <c r="V202" s="44"/>
      <c r="W202" s="44"/>
      <c r="X202" s="44"/>
      <c r="Y202" s="44"/>
      <c r="Z202" s="44"/>
      <c r="AA202" s="44"/>
    </row>
    <row r="203" spans="1:27" x14ac:dyDescent="0.25">
      <c r="A203" s="44"/>
      <c r="B203" s="44"/>
      <c r="C203" s="44"/>
      <c r="D203" s="301" t="s">
        <v>136</v>
      </c>
      <c r="E203" s="302"/>
      <c r="F203" s="64">
        <f>8*24</f>
        <v>192</v>
      </c>
      <c r="G203" s="60">
        <f t="shared" si="9"/>
        <v>45116</v>
      </c>
      <c r="H203" s="61">
        <f t="shared" si="9"/>
        <v>1.8881944444444445</v>
      </c>
      <c r="I203" s="60">
        <f>+G203+8</f>
        <v>45124</v>
      </c>
      <c r="J203" s="62">
        <f>H203+TIME(F203,0,0)</f>
        <v>1.8881944444444445</v>
      </c>
      <c r="K203" s="56" t="s">
        <v>134</v>
      </c>
      <c r="L203" s="56" t="s">
        <v>199</v>
      </c>
      <c r="M203" s="63" t="s">
        <v>114</v>
      </c>
      <c r="N203" s="44"/>
      <c r="O203" s="44"/>
      <c r="P203" s="44"/>
      <c r="Q203" s="44"/>
      <c r="R203" s="44"/>
      <c r="S203" s="44"/>
      <c r="T203" s="44"/>
      <c r="U203" s="44"/>
      <c r="V203" s="44"/>
      <c r="W203" s="44"/>
      <c r="X203" s="44"/>
      <c r="Y203" s="44"/>
      <c r="Z203" s="44"/>
      <c r="AA203" s="44"/>
    </row>
    <row r="204" spans="1:27" x14ac:dyDescent="0.25">
      <c r="D204" s="283" t="s">
        <v>184</v>
      </c>
      <c r="E204" s="283"/>
      <c r="F204" s="233">
        <v>3980.2</v>
      </c>
      <c r="G204" s="136"/>
      <c r="H204" s="51"/>
      <c r="I204" s="51"/>
      <c r="J204" s="51"/>
      <c r="K204" s="57"/>
      <c r="L204" s="57"/>
      <c r="M204" s="51"/>
      <c r="N204" s="51"/>
      <c r="O204" s="51"/>
    </row>
    <row r="205" spans="1:27" x14ac:dyDescent="0.25">
      <c r="F205" s="299"/>
      <c r="G205" s="299"/>
      <c r="H205" s="51"/>
      <c r="I205" s="51"/>
      <c r="J205" s="51"/>
      <c r="K205" s="57"/>
      <c r="L205" s="57"/>
      <c r="M205" s="51"/>
      <c r="N205" s="51"/>
      <c r="O205" s="51"/>
    </row>
    <row r="206" spans="1:27" x14ac:dyDescent="0.25">
      <c r="F206" s="51"/>
      <c r="G206" s="51"/>
      <c r="H206" s="51"/>
      <c r="I206" s="51"/>
      <c r="J206" s="50" t="s">
        <v>151</v>
      </c>
      <c r="K206" s="57"/>
      <c r="L206" s="57"/>
      <c r="M206" s="51"/>
    </row>
    <row r="207" spans="1:27" x14ac:dyDescent="0.25">
      <c r="F207" s="303"/>
      <c r="G207" s="303"/>
      <c r="H207" s="52"/>
      <c r="I207" s="303"/>
      <c r="J207" s="303"/>
      <c r="K207" s="303"/>
      <c r="L207" s="58"/>
      <c r="M207" s="51"/>
      <c r="N207" s="51"/>
      <c r="O207" s="51"/>
    </row>
    <row r="208" spans="1:27" x14ac:dyDescent="0.25">
      <c r="F208" s="299"/>
      <c r="G208" s="299"/>
      <c r="H208" s="51"/>
      <c r="I208" s="51"/>
      <c r="J208" s="51"/>
      <c r="K208" s="57"/>
      <c r="L208" s="57"/>
      <c r="M208" s="51"/>
      <c r="N208" s="51"/>
      <c r="O208" s="51"/>
    </row>
    <row r="209" spans="2:26" x14ac:dyDescent="0.25">
      <c r="B209" s="44"/>
      <c r="C209" s="44"/>
      <c r="D209" s="44"/>
      <c r="E209" s="44"/>
      <c r="F209" s="44"/>
      <c r="G209" s="44"/>
      <c r="H209" s="44"/>
      <c r="I209" s="44"/>
      <c r="J209" s="44"/>
      <c r="K209" s="44"/>
      <c r="L209" s="44"/>
      <c r="M209" s="44"/>
      <c r="N209" s="44"/>
      <c r="O209" s="44"/>
      <c r="P209" s="44"/>
      <c r="Q209" s="44"/>
      <c r="R209" s="44"/>
      <c r="S209" s="44"/>
      <c r="T209" s="44"/>
      <c r="U209" s="44"/>
      <c r="Y209" s="135">
        <v>4089.3</v>
      </c>
      <c r="Z209" s="134"/>
    </row>
    <row r="210" spans="2:26" x14ac:dyDescent="0.25">
      <c r="B210" s="304" t="s">
        <v>210</v>
      </c>
      <c r="C210" s="304"/>
      <c r="D210" s="44"/>
      <c r="E210" s="304" t="s">
        <v>211</v>
      </c>
      <c r="F210" s="300"/>
      <c r="G210" s="44"/>
      <c r="H210" s="300" t="s">
        <v>212</v>
      </c>
      <c r="I210" s="300"/>
      <c r="J210" s="44"/>
      <c r="K210" s="111" t="s">
        <v>178</v>
      </c>
      <c r="M210" s="63" t="s">
        <v>299</v>
      </c>
      <c r="P210" s="300" t="s">
        <v>300</v>
      </c>
      <c r="Q210" s="300"/>
      <c r="R210" s="44"/>
      <c r="U210" s="300" t="s">
        <v>301</v>
      </c>
      <c r="V210" s="300"/>
      <c r="Y210" s="300" t="s">
        <v>302</v>
      </c>
      <c r="Z210" s="300"/>
    </row>
    <row r="211" spans="2:26" x14ac:dyDescent="0.25">
      <c r="B211" s="44"/>
      <c r="C211" s="44"/>
      <c r="D211" s="44"/>
      <c r="E211" s="44"/>
      <c r="F211" s="44"/>
      <c r="G211" s="44"/>
      <c r="H211" s="44"/>
      <c r="I211" s="44"/>
      <c r="J211" s="44"/>
      <c r="K211" s="44"/>
      <c r="L211" s="44"/>
      <c r="M211" s="44"/>
      <c r="N211" s="44"/>
      <c r="O211" s="44"/>
      <c r="P211" s="44"/>
      <c r="Q211" s="44"/>
      <c r="R211" s="44"/>
      <c r="S211" s="44"/>
      <c r="T211" s="44"/>
      <c r="U211" s="44"/>
      <c r="V211" s="44"/>
      <c r="W211" s="44"/>
    </row>
    <row r="212" spans="2:26" x14ac:dyDescent="0.25">
      <c r="B212" s="44"/>
      <c r="C212" s="44"/>
      <c r="D212" s="44"/>
      <c r="E212" s="44"/>
      <c r="F212" s="44"/>
      <c r="G212" s="44"/>
      <c r="H212" s="44"/>
      <c r="I212" s="44"/>
      <c r="J212" s="44"/>
      <c r="K212" s="44"/>
      <c r="L212" s="44"/>
      <c r="M212" s="44"/>
      <c r="N212" s="44"/>
      <c r="O212" s="44"/>
      <c r="P212" s="44"/>
      <c r="Q212" s="44"/>
      <c r="R212" s="44"/>
      <c r="S212" s="44"/>
      <c r="T212" s="44"/>
      <c r="U212" s="44"/>
      <c r="V212" s="44"/>
      <c r="W212" s="44"/>
    </row>
    <row r="213" spans="2:26" x14ac:dyDescent="0.25">
      <c r="K213"/>
      <c r="L213"/>
    </row>
    <row r="214" spans="2:26" x14ac:dyDescent="0.25">
      <c r="K214"/>
      <c r="L214"/>
    </row>
    <row r="215" spans="2:26" x14ac:dyDescent="0.25">
      <c r="H215" s="50"/>
      <c r="K215"/>
      <c r="L215"/>
    </row>
    <row r="216" spans="2:26" x14ac:dyDescent="0.25">
      <c r="B216" s="297" t="s">
        <v>185</v>
      </c>
      <c r="C216" s="297"/>
      <c r="E216" s="297" t="s">
        <v>188</v>
      </c>
      <c r="F216" s="297"/>
      <c r="H216" s="297" t="s">
        <v>189</v>
      </c>
      <c r="I216" s="297"/>
      <c r="K216" s="109" t="s">
        <v>190</v>
      </c>
      <c r="L216" s="15"/>
      <c r="M216" s="50" t="s">
        <v>192</v>
      </c>
      <c r="P216" s="297" t="s">
        <v>195</v>
      </c>
      <c r="Q216" s="297"/>
      <c r="U216" s="297" t="s">
        <v>135</v>
      </c>
      <c r="V216" s="297"/>
      <c r="Y216" s="297" t="s">
        <v>136</v>
      </c>
      <c r="Z216" s="297"/>
    </row>
    <row r="217" spans="2:26" x14ac:dyDescent="0.25">
      <c r="B217" s="297" t="s">
        <v>186</v>
      </c>
      <c r="C217" s="297"/>
      <c r="E217" s="297" t="s">
        <v>187</v>
      </c>
      <c r="F217" s="297"/>
      <c r="H217" s="297" t="s">
        <v>120</v>
      </c>
      <c r="I217" s="297"/>
      <c r="K217" s="50" t="s">
        <v>191</v>
      </c>
      <c r="L217" s="15"/>
      <c r="M217" s="50" t="s">
        <v>193</v>
      </c>
      <c r="P217" s="297" t="s">
        <v>194</v>
      </c>
      <c r="Q217" s="297"/>
      <c r="U217" s="297" t="s">
        <v>196</v>
      </c>
      <c r="V217" s="297"/>
    </row>
    <row r="221" spans="2:26" x14ac:dyDescent="0.25">
      <c r="D221" s="297" t="s">
        <v>145</v>
      </c>
      <c r="E221" s="297"/>
      <c r="F221" s="297"/>
      <c r="J221" s="297" t="s">
        <v>146</v>
      </c>
      <c r="K221" s="297"/>
      <c r="M221" s="15"/>
      <c r="P221" s="15"/>
      <c r="Q221" s="15"/>
      <c r="R221" s="15" t="s">
        <v>147</v>
      </c>
      <c r="Z221" s="50" t="s">
        <v>184</v>
      </c>
    </row>
  </sheetData>
  <mergeCells count="178">
    <mergeCell ref="D81:E81"/>
    <mergeCell ref="D142:E142"/>
    <mergeCell ref="D204:E204"/>
    <mergeCell ref="K69:K76"/>
    <mergeCell ref="L69:L76"/>
    <mergeCell ref="M69:M76"/>
    <mergeCell ref="K7:K11"/>
    <mergeCell ref="L7:L11"/>
    <mergeCell ref="M7:M11"/>
    <mergeCell ref="K192:K199"/>
    <mergeCell ref="L192:L199"/>
    <mergeCell ref="M192:M199"/>
    <mergeCell ref="K129:K137"/>
    <mergeCell ref="L129:L137"/>
    <mergeCell ref="M129:M137"/>
    <mergeCell ref="J33:K33"/>
    <mergeCell ref="D63:M63"/>
    <mergeCell ref="D64:E64"/>
    <mergeCell ref="D33:F33"/>
    <mergeCell ref="D78:E78"/>
    <mergeCell ref="D79:E79"/>
    <mergeCell ref="D80:E80"/>
    <mergeCell ref="F82:G82"/>
    <mergeCell ref="F84:G84"/>
    <mergeCell ref="D65:E65"/>
    <mergeCell ref="D66:E66"/>
    <mergeCell ref="D1:M1"/>
    <mergeCell ref="D2:E2"/>
    <mergeCell ref="D3:E3"/>
    <mergeCell ref="D4:E4"/>
    <mergeCell ref="D5:E5"/>
    <mergeCell ref="D6:E6"/>
    <mergeCell ref="D14:E14"/>
    <mergeCell ref="D15:E15"/>
    <mergeCell ref="D7:E7"/>
    <mergeCell ref="D12:E12"/>
    <mergeCell ref="D13:E13"/>
    <mergeCell ref="D8:E8"/>
    <mergeCell ref="D9:E9"/>
    <mergeCell ref="D10:E10"/>
    <mergeCell ref="D11:E11"/>
    <mergeCell ref="D16:E16"/>
    <mergeCell ref="U28:V28"/>
    <mergeCell ref="Y28:Z28"/>
    <mergeCell ref="F17:G17"/>
    <mergeCell ref="B29:C29"/>
    <mergeCell ref="E29:F29"/>
    <mergeCell ref="H29:I29"/>
    <mergeCell ref="P29:Q29"/>
    <mergeCell ref="U29:V29"/>
    <mergeCell ref="B28:C28"/>
    <mergeCell ref="E28:F28"/>
    <mergeCell ref="H28:I28"/>
    <mergeCell ref="P28:Q28"/>
    <mergeCell ref="B22:C22"/>
    <mergeCell ref="E22:F22"/>
    <mergeCell ref="H22:I22"/>
    <mergeCell ref="P22:Q22"/>
    <mergeCell ref="U22:V22"/>
    <mergeCell ref="I19:K19"/>
    <mergeCell ref="F20:G20"/>
    <mergeCell ref="F19:G19"/>
    <mergeCell ref="Y22:Z22"/>
    <mergeCell ref="D67:E67"/>
    <mergeCell ref="D68:E68"/>
    <mergeCell ref="D69:E69"/>
    <mergeCell ref="D77:E77"/>
    <mergeCell ref="D70:E70"/>
    <mergeCell ref="D71:E71"/>
    <mergeCell ref="D72:E72"/>
    <mergeCell ref="D73:E73"/>
    <mergeCell ref="D74:E74"/>
    <mergeCell ref="D75:E75"/>
    <mergeCell ref="D76:E76"/>
    <mergeCell ref="Y93:Z93"/>
    <mergeCell ref="I84:K84"/>
    <mergeCell ref="F85:G85"/>
    <mergeCell ref="B87:C87"/>
    <mergeCell ref="E87:F87"/>
    <mergeCell ref="H87:I87"/>
    <mergeCell ref="P87:Q87"/>
    <mergeCell ref="U87:V87"/>
    <mergeCell ref="Y87:Z87"/>
    <mergeCell ref="B94:C94"/>
    <mergeCell ref="E94:F94"/>
    <mergeCell ref="H94:I94"/>
    <mergeCell ref="P94:Q94"/>
    <mergeCell ref="U94:V94"/>
    <mergeCell ref="D98:F98"/>
    <mergeCell ref="J98:K98"/>
    <mergeCell ref="B93:C93"/>
    <mergeCell ref="E93:F93"/>
    <mergeCell ref="H93:I93"/>
    <mergeCell ref="P93:Q93"/>
    <mergeCell ref="U93:V93"/>
    <mergeCell ref="D129:E129"/>
    <mergeCell ref="D138:E138"/>
    <mergeCell ref="D139:E139"/>
    <mergeCell ref="D140:E140"/>
    <mergeCell ref="D141:E141"/>
    <mergeCell ref="D123:M123"/>
    <mergeCell ref="D124:E124"/>
    <mergeCell ref="D125:E125"/>
    <mergeCell ref="D126:E126"/>
    <mergeCell ref="D127:E127"/>
    <mergeCell ref="D128:E128"/>
    <mergeCell ref="D130:E130"/>
    <mergeCell ref="D131:E131"/>
    <mergeCell ref="D132:E132"/>
    <mergeCell ref="D133:E133"/>
    <mergeCell ref="D134:E134"/>
    <mergeCell ref="D135:E135"/>
    <mergeCell ref="D136:E136"/>
    <mergeCell ref="D137:E137"/>
    <mergeCell ref="F143:G143"/>
    <mergeCell ref="F145:G145"/>
    <mergeCell ref="I145:K145"/>
    <mergeCell ref="F146:G146"/>
    <mergeCell ref="B148:C148"/>
    <mergeCell ref="E148:F148"/>
    <mergeCell ref="H148:I148"/>
    <mergeCell ref="P148:Q148"/>
    <mergeCell ref="U148:V148"/>
    <mergeCell ref="B155:C155"/>
    <mergeCell ref="E155:F155"/>
    <mergeCell ref="H155:I155"/>
    <mergeCell ref="P155:Q155"/>
    <mergeCell ref="U155:V155"/>
    <mergeCell ref="D159:F159"/>
    <mergeCell ref="L159:M159"/>
    <mergeCell ref="Y148:Z148"/>
    <mergeCell ref="B154:C154"/>
    <mergeCell ref="E154:F154"/>
    <mergeCell ref="H154:I154"/>
    <mergeCell ref="P154:Q154"/>
    <mergeCell ref="U154:V154"/>
    <mergeCell ref="Y154:Z154"/>
    <mergeCell ref="D189:E189"/>
    <mergeCell ref="D190:E190"/>
    <mergeCell ref="D191:E191"/>
    <mergeCell ref="D192:E192"/>
    <mergeCell ref="D200:E200"/>
    <mergeCell ref="D201:E201"/>
    <mergeCell ref="D187:E187"/>
    <mergeCell ref="D188:E188"/>
    <mergeCell ref="D186:M186"/>
    <mergeCell ref="D193:E193"/>
    <mergeCell ref="D194:E194"/>
    <mergeCell ref="D195:E195"/>
    <mergeCell ref="D196:E196"/>
    <mergeCell ref="D197:E197"/>
    <mergeCell ref="D198:E198"/>
    <mergeCell ref="D199:E199"/>
    <mergeCell ref="D202:E202"/>
    <mergeCell ref="D203:E203"/>
    <mergeCell ref="F207:G207"/>
    <mergeCell ref="I207:K207"/>
    <mergeCell ref="F208:G208"/>
    <mergeCell ref="B217:C217"/>
    <mergeCell ref="E217:F217"/>
    <mergeCell ref="H217:I217"/>
    <mergeCell ref="B210:C210"/>
    <mergeCell ref="E210:F210"/>
    <mergeCell ref="H210:I210"/>
    <mergeCell ref="F205:G205"/>
    <mergeCell ref="P217:Q217"/>
    <mergeCell ref="U217:V217"/>
    <mergeCell ref="D221:F221"/>
    <mergeCell ref="J221:K221"/>
    <mergeCell ref="P210:Q210"/>
    <mergeCell ref="U210:V210"/>
    <mergeCell ref="Y210:Z210"/>
    <mergeCell ref="B216:C216"/>
    <mergeCell ref="E216:F216"/>
    <mergeCell ref="H216:I216"/>
    <mergeCell ref="P216:Q216"/>
    <mergeCell ref="U216:V216"/>
    <mergeCell ref="Y216:Z216"/>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Hoja1">
    <tabColor theme="4" tint="0.59999389629810485"/>
  </sheetPr>
  <dimension ref="A1:AG85"/>
  <sheetViews>
    <sheetView topLeftCell="B25" zoomScale="84" zoomScaleNormal="84" workbookViewId="0">
      <selection activeCell="I45" sqref="I45"/>
    </sheetView>
  </sheetViews>
  <sheetFormatPr baseColWidth="10" defaultColWidth="10.7109375" defaultRowHeight="15" x14ac:dyDescent="0.25"/>
  <cols>
    <col min="2" max="2" width="12.85546875" customWidth="1"/>
    <col min="3" max="3" width="35.42578125" customWidth="1"/>
    <col min="4" max="4" width="35.140625" customWidth="1"/>
    <col min="5" max="5" width="19.140625" customWidth="1"/>
    <col min="6" max="7" width="22.140625" customWidth="1"/>
    <col min="8" max="8" width="20.5703125" customWidth="1"/>
    <col min="9" max="9" width="18.42578125" customWidth="1"/>
    <col min="10" max="10" width="23.42578125" customWidth="1"/>
    <col min="11" max="11" width="20.28515625" customWidth="1"/>
    <col min="12" max="12" width="15.42578125" customWidth="1"/>
    <col min="14" max="14" width="17" customWidth="1"/>
    <col min="15" max="15" width="27" customWidth="1"/>
    <col min="16" max="16" width="23.7109375" customWidth="1"/>
    <col min="17" max="17" width="19.85546875" customWidth="1"/>
    <col min="18" max="18" width="19.140625" customWidth="1"/>
    <col min="19" max="20" width="20.140625" customWidth="1"/>
    <col min="21" max="21" width="18.28515625" customWidth="1"/>
    <col min="22" max="22" width="23.42578125" customWidth="1"/>
    <col min="23" max="23" width="16.140625" customWidth="1"/>
    <col min="24" max="24" width="20.5703125" customWidth="1"/>
    <col min="25" max="25" width="16.140625" customWidth="1"/>
    <col min="26" max="26" width="20.28515625" customWidth="1"/>
  </cols>
  <sheetData>
    <row r="1" spans="1:11" ht="15.75" thickBot="1" x14ac:dyDescent="0.3">
      <c r="A1" s="66"/>
      <c r="B1" s="66"/>
      <c r="C1" s="1"/>
    </row>
    <row r="2" spans="1:11" x14ac:dyDescent="0.25">
      <c r="A2" s="66"/>
      <c r="B2" s="66"/>
      <c r="C2" s="315" t="s">
        <v>214</v>
      </c>
      <c r="D2" s="316"/>
      <c r="E2" s="316"/>
      <c r="F2" s="317"/>
    </row>
    <row r="3" spans="1:11" x14ac:dyDescent="0.25">
      <c r="A3" s="66"/>
      <c r="B3" s="66"/>
      <c r="C3" s="1"/>
      <c r="D3" s="256"/>
      <c r="E3" s="257"/>
      <c r="F3" s="334"/>
    </row>
    <row r="4" spans="1:11" x14ac:dyDescent="0.25">
      <c r="A4" s="66"/>
      <c r="B4" s="66"/>
      <c r="C4" s="1"/>
      <c r="D4" s="256"/>
      <c r="E4" s="257"/>
      <c r="F4" s="334"/>
    </row>
    <row r="5" spans="1:11" x14ac:dyDescent="0.25">
      <c r="A5" s="66"/>
      <c r="B5" s="66"/>
      <c r="C5" s="1"/>
      <c r="D5" s="335"/>
      <c r="E5" s="336"/>
      <c r="F5" s="337"/>
    </row>
    <row r="6" spans="1:11" ht="14.25" customHeight="1" x14ac:dyDescent="0.25">
      <c r="A6" s="66"/>
      <c r="B6" s="66"/>
      <c r="C6" s="1"/>
      <c r="D6" s="335"/>
      <c r="E6" s="336"/>
      <c r="F6" s="337"/>
    </row>
    <row r="7" spans="1:11" ht="14.25" customHeight="1" x14ac:dyDescent="0.25">
      <c r="A7" s="66"/>
      <c r="B7" s="66"/>
      <c r="C7" s="1"/>
      <c r="D7" s="338"/>
      <c r="E7" s="339"/>
      <c r="F7" s="340"/>
    </row>
    <row r="8" spans="1:11" ht="15" customHeight="1" x14ac:dyDescent="0.25">
      <c r="A8" s="66"/>
      <c r="B8" s="66"/>
      <c r="C8" s="1" t="s">
        <v>256</v>
      </c>
      <c r="D8" s="318">
        <f>'LINEA DE TIEMPO MARITIMA'!AK8</f>
        <v>4196.6000000000004</v>
      </c>
      <c r="E8" s="318"/>
      <c r="F8" s="319"/>
    </row>
    <row r="9" spans="1:11" ht="15.75" thickBot="1" x14ac:dyDescent="0.3">
      <c r="A9" s="66"/>
      <c r="B9" s="66"/>
      <c r="C9" s="1" t="s">
        <v>257</v>
      </c>
      <c r="D9" s="320">
        <f>'LINEA DE TIEMPO AEREA'!Y21</f>
        <v>4173.66</v>
      </c>
      <c r="E9" s="320"/>
      <c r="F9" s="321"/>
    </row>
    <row r="10" spans="1:11" x14ac:dyDescent="0.25">
      <c r="A10" s="66"/>
      <c r="B10" s="66"/>
      <c r="C10" s="29"/>
    </row>
    <row r="12" spans="1:11" x14ac:dyDescent="0.25">
      <c r="A12" s="66"/>
      <c r="B12" s="66"/>
      <c r="C12" s="343" t="s">
        <v>215</v>
      </c>
      <c r="D12" s="344"/>
      <c r="E12" s="344"/>
      <c r="F12" s="344"/>
      <c r="G12" s="344"/>
      <c r="H12" s="344"/>
      <c r="I12" s="344"/>
      <c r="J12" s="344"/>
      <c r="K12" s="345"/>
    </row>
    <row r="13" spans="1:11" x14ac:dyDescent="0.25">
      <c r="A13" s="66"/>
      <c r="B13" s="66"/>
      <c r="C13" s="346"/>
      <c r="D13" s="347"/>
      <c r="E13" s="347"/>
      <c r="F13" s="347"/>
      <c r="G13" s="347"/>
      <c r="H13" s="347"/>
      <c r="I13" s="347"/>
      <c r="J13" s="347"/>
      <c r="K13" s="348"/>
    </row>
    <row r="14" spans="1:11" ht="15.75" thickBot="1" x14ac:dyDescent="0.3">
      <c r="A14" s="66"/>
      <c r="B14" s="66"/>
      <c r="C14" s="357" t="s">
        <v>0</v>
      </c>
      <c r="D14" s="354" t="s">
        <v>1</v>
      </c>
      <c r="E14" s="355"/>
      <c r="F14" s="355"/>
      <c r="G14" s="356"/>
      <c r="H14" s="352" t="s">
        <v>5</v>
      </c>
      <c r="I14" s="353"/>
      <c r="J14" s="353"/>
      <c r="K14" s="353"/>
    </row>
    <row r="15" spans="1:11" ht="15" customHeight="1" x14ac:dyDescent="0.25">
      <c r="A15" s="66"/>
      <c r="B15" s="66"/>
      <c r="C15" s="358"/>
      <c r="D15" s="350" t="s">
        <v>216</v>
      </c>
      <c r="E15" s="351"/>
      <c r="F15" s="341" t="s">
        <v>217</v>
      </c>
      <c r="G15" s="342"/>
      <c r="H15" s="341" t="s">
        <v>216</v>
      </c>
      <c r="I15" s="342"/>
      <c r="J15" s="349" t="s">
        <v>2</v>
      </c>
      <c r="K15" s="342"/>
    </row>
    <row r="16" spans="1:11" ht="15" customHeight="1" thickBot="1" x14ac:dyDescent="0.3">
      <c r="A16" s="66"/>
      <c r="B16" s="66"/>
      <c r="C16" s="358"/>
      <c r="D16" s="67" t="s">
        <v>3</v>
      </c>
      <c r="E16" s="68" t="s">
        <v>4</v>
      </c>
      <c r="F16" s="69" t="s">
        <v>3</v>
      </c>
      <c r="G16" s="68" t="s">
        <v>4</v>
      </c>
      <c r="H16" s="69" t="s">
        <v>3</v>
      </c>
      <c r="I16" s="139" t="s">
        <v>4</v>
      </c>
      <c r="J16" s="67" t="s">
        <v>3</v>
      </c>
      <c r="K16" s="68" t="s">
        <v>4</v>
      </c>
    </row>
    <row r="17" spans="1:33" ht="15.75" thickBot="1" x14ac:dyDescent="0.3">
      <c r="A17" s="66"/>
      <c r="B17" s="66"/>
      <c r="C17" s="155" t="s">
        <v>6</v>
      </c>
      <c r="D17" s="70">
        <f>E17*D8</f>
        <v>822533.60000000009</v>
      </c>
      <c r="E17" s="174">
        <f>3.5*56</f>
        <v>196</v>
      </c>
      <c r="F17" s="71">
        <f>G17*D8</f>
        <v>3553345152.0000005</v>
      </c>
      <c r="G17" s="174">
        <f>'DECISIÓN FINAL DE CUBICAJE'!B52*E17</f>
        <v>846720</v>
      </c>
      <c r="H17" s="72">
        <f>I17*D9</f>
        <v>818037.36</v>
      </c>
      <c r="I17" s="175">
        <f>3.5*56</f>
        <v>196</v>
      </c>
      <c r="J17" s="71">
        <f>K17*D9</f>
        <v>3533921395.1999998</v>
      </c>
      <c r="K17" s="174">
        <f>I17*'DECISIÓN FINAL DE CUBICAJE'!B52</f>
        <v>846720</v>
      </c>
    </row>
    <row r="18" spans="1:33" ht="15.75" customHeight="1" thickBot="1" x14ac:dyDescent="0.3">
      <c r="A18" s="66"/>
      <c r="B18" s="66"/>
      <c r="C18" s="29"/>
      <c r="D18" s="73"/>
      <c r="E18" s="74"/>
      <c r="F18" s="74"/>
      <c r="G18" s="74"/>
      <c r="H18" s="74"/>
      <c r="J18" s="74"/>
      <c r="K18" s="74"/>
    </row>
    <row r="19" spans="1:33" ht="15.75" customHeight="1" thickBot="1" x14ac:dyDescent="0.3">
      <c r="A19" s="324" t="s">
        <v>218</v>
      </c>
      <c r="B19" s="325"/>
      <c r="C19" s="1" t="s">
        <v>219</v>
      </c>
      <c r="D19" s="82">
        <f>E19*D8</f>
        <v>1468.81</v>
      </c>
      <c r="E19" s="176">
        <f>0.35</f>
        <v>0.35</v>
      </c>
      <c r="F19" s="84">
        <f>G19*D8</f>
        <v>355334515.19999999</v>
      </c>
      <c r="G19" s="176">
        <f>E19*56*'DECISIÓN FINAL DE CUBICAJE'!B52</f>
        <v>84671.999999999985</v>
      </c>
      <c r="H19" s="85">
        <f>I19*D9</f>
        <v>1460.7809999999999</v>
      </c>
      <c r="I19" s="176">
        <f>0.35</f>
        <v>0.35</v>
      </c>
      <c r="J19" s="84">
        <f>D9*K19</f>
        <v>353392139.51999992</v>
      </c>
      <c r="K19" s="212">
        <f>0.35*56*'DECISIÓN FINAL DE CUBICAJE'!B52</f>
        <v>84671.999999999985</v>
      </c>
      <c r="O19" s="322" t="s">
        <v>255</v>
      </c>
      <c r="P19" s="323"/>
      <c r="Q19" s="151" t="s">
        <v>4</v>
      </c>
      <c r="AG19" t="s">
        <v>307</v>
      </c>
    </row>
    <row r="20" spans="1:33" ht="15.75" thickBot="1" x14ac:dyDescent="0.3">
      <c r="A20" s="326"/>
      <c r="B20" s="327"/>
      <c r="C20" s="1" t="s">
        <v>220</v>
      </c>
      <c r="D20" s="82">
        <f>E20*D8</f>
        <v>11540.650000000001</v>
      </c>
      <c r="E20" s="177">
        <v>2.75</v>
      </c>
      <c r="F20" s="84">
        <f>G20*D8</f>
        <v>49855608.000000007</v>
      </c>
      <c r="G20" s="177">
        <f>E20*'DECISIÓN FINAL DE CUBICAJE'!B52</f>
        <v>11880</v>
      </c>
      <c r="H20" s="85">
        <f>I20*D9</f>
        <v>11477.564999999999</v>
      </c>
      <c r="I20" s="177">
        <v>2.75</v>
      </c>
      <c r="J20" s="84">
        <f>D9*K20</f>
        <v>49583080.799999997</v>
      </c>
      <c r="K20" s="213">
        <f>2.75*'DECISIÓN FINAL DE CUBICAJE'!B52</f>
        <v>11880</v>
      </c>
      <c r="O20" s="283" t="s">
        <v>6</v>
      </c>
      <c r="P20" s="283"/>
      <c r="Q20" s="233">
        <f>G17</f>
        <v>846720</v>
      </c>
    </row>
    <row r="21" spans="1:33" ht="15.75" thickBot="1" x14ac:dyDescent="0.3">
      <c r="A21" s="326"/>
      <c r="B21" s="327"/>
      <c r="C21" s="76" t="s">
        <v>221</v>
      </c>
      <c r="D21" s="82">
        <f>E21*D8</f>
        <v>335.72800000000001</v>
      </c>
      <c r="E21" s="177">
        <v>0.08</v>
      </c>
      <c r="F21" s="84">
        <f>G21*D8</f>
        <v>1450344.9600000002</v>
      </c>
      <c r="G21" s="177">
        <f>E21*'DECISIÓN FINAL DE CUBICAJE'!B52</f>
        <v>345.6</v>
      </c>
      <c r="H21" s="105">
        <f>I21*D9</f>
        <v>333.89280000000002</v>
      </c>
      <c r="I21" s="205">
        <v>0.08</v>
      </c>
      <c r="J21" s="104">
        <f>D9*K21</f>
        <v>1442416.8959999999</v>
      </c>
      <c r="K21" s="214">
        <f>0.08*'DECISIÓN FINAL DE CUBICAJE'!B52</f>
        <v>345.6</v>
      </c>
      <c r="O21" s="283" t="s">
        <v>226</v>
      </c>
      <c r="P21" s="283"/>
      <c r="Q21" s="233">
        <f>Q20*0.7%</f>
        <v>5927.0399999999991</v>
      </c>
    </row>
    <row r="22" spans="1:33" ht="15.75" thickBot="1" x14ac:dyDescent="0.3">
      <c r="A22" s="326"/>
      <c r="B22" s="327"/>
      <c r="C22" s="1" t="s">
        <v>222</v>
      </c>
      <c r="D22" s="163">
        <f>E22*D8</f>
        <v>53.428935185185189</v>
      </c>
      <c r="E22" s="178">
        <f>55/'DECISIÓN FINAL DE CUBICAJE'!B52</f>
        <v>1.2731481481481481E-2</v>
      </c>
      <c r="F22" s="164">
        <f>G22*D8</f>
        <v>997112160.00000012</v>
      </c>
      <c r="G22" s="199">
        <f>55*'DECISIÓN FINAL DE CUBICAJE'!B52</f>
        <v>237600</v>
      </c>
      <c r="H22" s="90"/>
      <c r="I22" s="189"/>
      <c r="J22" s="90"/>
      <c r="K22" s="215"/>
      <c r="O22" s="283" t="s">
        <v>227</v>
      </c>
      <c r="P22" s="283"/>
      <c r="Q22" s="233">
        <f>14000/D8</f>
        <v>3.3360339322308534</v>
      </c>
    </row>
    <row r="23" spans="1:33" ht="15.75" thickBot="1" x14ac:dyDescent="0.3">
      <c r="A23" s="326"/>
      <c r="B23" s="327"/>
      <c r="C23" s="43" t="s">
        <v>223</v>
      </c>
      <c r="D23" s="161">
        <f>F23/'DECISIÓN FINAL DE CUBICAJE'!B52</f>
        <v>21.99074074074074</v>
      </c>
      <c r="E23" s="197">
        <f>D23/D8</f>
        <v>5.2401326647144681E-3</v>
      </c>
      <c r="F23" s="154">
        <f>5700000/120*2</f>
        <v>95000</v>
      </c>
      <c r="G23" s="179">
        <f>F23/D8</f>
        <v>22.637373111566504</v>
      </c>
      <c r="H23" s="154">
        <f>J23/'DECISIÓN FINAL DE CUBICAJE'!B52</f>
        <v>21.99074074074074</v>
      </c>
      <c r="I23" s="197">
        <f>H23/D9</f>
        <v>5.2689343982836988E-3</v>
      </c>
      <c r="J23" s="154">
        <f>5700000/120*2</f>
        <v>95000</v>
      </c>
      <c r="K23" s="216">
        <f>J23/D9</f>
        <v>22.761796600585576</v>
      </c>
      <c r="O23" s="283" t="s">
        <v>245</v>
      </c>
      <c r="P23" s="283"/>
      <c r="Q23" s="233">
        <f>220000/D8</f>
        <v>52.423390363627696</v>
      </c>
    </row>
    <row r="24" spans="1:33" ht="15.75" thickBot="1" x14ac:dyDescent="0.3">
      <c r="A24" s="326"/>
      <c r="B24" s="327"/>
      <c r="C24" s="1" t="s">
        <v>224</v>
      </c>
      <c r="D24" s="154">
        <f>E24*D8</f>
        <v>242.8587962962963</v>
      </c>
      <c r="E24" s="180">
        <f>250/'DECISIÓN FINAL DE CUBICAJE'!B52</f>
        <v>5.7870370370370371E-2</v>
      </c>
      <c r="F24" s="154">
        <f>G24*D8</f>
        <v>1049150</v>
      </c>
      <c r="G24" s="180">
        <f>250</f>
        <v>250</v>
      </c>
      <c r="H24" s="83">
        <f>I24*D9</f>
        <v>241.53125</v>
      </c>
      <c r="I24" s="177">
        <f>250/'DECISIÓN FINAL DE CUBICAJE'!B52</f>
        <v>5.7870370370370371E-2</v>
      </c>
      <c r="J24" s="89">
        <f>K24*D9</f>
        <v>1043415</v>
      </c>
      <c r="K24" s="213">
        <v>250</v>
      </c>
      <c r="L24" s="80"/>
      <c r="M24" s="80"/>
      <c r="N24" s="80"/>
      <c r="O24" s="332" t="s">
        <v>246</v>
      </c>
      <c r="P24" s="333"/>
      <c r="Q24" s="234">
        <f>SUM(Q21:Q23)</f>
        <v>5982.7994242958575</v>
      </c>
      <c r="R24" s="80"/>
    </row>
    <row r="25" spans="1:33" ht="15.75" thickBot="1" x14ac:dyDescent="0.3">
      <c r="A25" s="326"/>
      <c r="B25" s="327"/>
      <c r="C25" s="1" t="s">
        <v>225</v>
      </c>
      <c r="D25" s="154">
        <f>9750000/'DECISIÓN FINAL DE CUBICAJE'!B52</f>
        <v>2256.9444444444443</v>
      </c>
      <c r="E25" s="180">
        <f>D25/D8</f>
        <v>0.53780308927332698</v>
      </c>
      <c r="F25" s="154">
        <v>9750000</v>
      </c>
      <c r="G25" s="180">
        <f>F25/D8</f>
        <v>2323.3093456607726</v>
      </c>
      <c r="H25" s="83"/>
      <c r="I25" s="176"/>
      <c r="J25" s="83"/>
      <c r="K25" s="212"/>
      <c r="O25" s="80"/>
      <c r="P25" s="80"/>
      <c r="Q25" s="80"/>
      <c r="R25" s="80"/>
    </row>
    <row r="26" spans="1:33" x14ac:dyDescent="0.25">
      <c r="A26" s="326"/>
      <c r="B26" s="327"/>
      <c r="C26" s="1" t="s">
        <v>226</v>
      </c>
      <c r="D26" s="154">
        <f>F26/'DECISIÓN FINAL DE CUBICAJE'!B52</f>
        <v>5811.9018666666661</v>
      </c>
      <c r="E26" s="235">
        <v>7.0000000000000001E-3</v>
      </c>
      <c r="F26" s="154">
        <f>G26*D8</f>
        <v>25107416.063999999</v>
      </c>
      <c r="G26" s="180">
        <f>Q24</f>
        <v>5982.7994242958575</v>
      </c>
      <c r="H26" s="83"/>
      <c r="I26" s="176"/>
      <c r="J26" s="83"/>
      <c r="K26" s="212"/>
      <c r="O26" s="256" t="s">
        <v>247</v>
      </c>
      <c r="P26" s="258"/>
      <c r="Q26" s="147" t="s">
        <v>4</v>
      </c>
    </row>
    <row r="27" spans="1:33" x14ac:dyDescent="0.25">
      <c r="A27" s="326"/>
      <c r="B27" s="327"/>
      <c r="C27" s="43" t="s">
        <v>303</v>
      </c>
      <c r="D27" s="81">
        <f>186000/'DECISIÓN FINAL DE CUBICAJE'!B52</f>
        <v>43.055555555555557</v>
      </c>
      <c r="E27" s="181">
        <f>D27/D8</f>
        <v>1.0259628164598855E-2</v>
      </c>
      <c r="F27" s="81">
        <f>186000*5</f>
        <v>930000</v>
      </c>
      <c r="G27" s="184">
        <f>F27/D8</f>
        <v>221.60796835533526</v>
      </c>
      <c r="H27" s="90"/>
      <c r="I27" s="189"/>
      <c r="J27" s="90"/>
      <c r="K27" s="217"/>
      <c r="O27" s="283" t="s">
        <v>249</v>
      </c>
      <c r="P27" s="283"/>
      <c r="Q27" s="233">
        <v>118</v>
      </c>
    </row>
    <row r="28" spans="1:33" x14ac:dyDescent="0.25">
      <c r="A28" s="326"/>
      <c r="B28" s="327"/>
      <c r="C28" s="1" t="s">
        <v>228</v>
      </c>
      <c r="D28" s="91">
        <f>F28/'DECISIÓN FINAL DE CUBICAJE'!B52</f>
        <v>507.51569444444442</v>
      </c>
      <c r="E28" s="182">
        <f>D28/D8</f>
        <v>0.1209349698433123</v>
      </c>
      <c r="F28" s="91">
        <f>G28*D8</f>
        <v>2192467.7999999998</v>
      </c>
      <c r="G28" s="182">
        <f>Q32</f>
        <v>522.43906972310913</v>
      </c>
      <c r="H28" s="91"/>
      <c r="I28" s="182"/>
      <c r="J28" s="91"/>
      <c r="K28" s="218"/>
      <c r="O28" s="293" t="s">
        <v>250</v>
      </c>
      <c r="P28" s="293"/>
      <c r="Q28" s="77">
        <f>535000/D8</f>
        <v>127.4841538388219</v>
      </c>
    </row>
    <row r="29" spans="1:33" x14ac:dyDescent="0.25">
      <c r="A29" s="326"/>
      <c r="B29" s="327"/>
      <c r="C29" s="78" t="s">
        <v>229</v>
      </c>
      <c r="D29" s="165">
        <f>E29*D8</f>
        <v>252.57314814814816</v>
      </c>
      <c r="E29" s="183">
        <f>260/'DECISIÓN FINAL DE CUBICAJE'!B52</f>
        <v>6.0185185185185182E-2</v>
      </c>
      <c r="F29" s="91">
        <f>G29*D8</f>
        <v>1091116</v>
      </c>
      <c r="G29" s="178">
        <f>260</f>
        <v>260</v>
      </c>
      <c r="H29" s="92"/>
      <c r="I29" s="206"/>
      <c r="J29" s="91"/>
      <c r="K29" s="219"/>
      <c r="O29" s="293" t="s">
        <v>251</v>
      </c>
      <c r="P29" s="293"/>
      <c r="Q29" s="234"/>
    </row>
    <row r="30" spans="1:33" x14ac:dyDescent="0.25">
      <c r="A30" s="326"/>
      <c r="B30" s="327"/>
      <c r="C30" s="76" t="s">
        <v>230</v>
      </c>
      <c r="D30" s="165">
        <f>E30*D8</f>
        <v>4614.3171296296296</v>
      </c>
      <c r="E30" s="180">
        <f>950/'DECISIÓN FINAL DE CUBICAJE'!O28</f>
        <v>1.099537037037037</v>
      </c>
      <c r="F30" s="91">
        <f>G30*D8</f>
        <v>19933850</v>
      </c>
      <c r="G30" s="183">
        <f>950*5</f>
        <v>4750</v>
      </c>
      <c r="H30" s="86"/>
      <c r="I30" s="177"/>
      <c r="J30" s="91"/>
      <c r="K30" s="219"/>
      <c r="O30" s="293" t="s">
        <v>252</v>
      </c>
      <c r="P30" s="293"/>
      <c r="Q30" s="234">
        <f>21.5*2*5</f>
        <v>215</v>
      </c>
      <c r="R30" s="249"/>
    </row>
    <row r="31" spans="1:33" x14ac:dyDescent="0.25">
      <c r="A31" s="326"/>
      <c r="B31" s="327"/>
      <c r="C31" s="1" t="s">
        <v>231</v>
      </c>
      <c r="D31" s="43"/>
      <c r="E31" s="184"/>
      <c r="F31" s="91"/>
      <c r="G31" s="200"/>
      <c r="H31" s="92">
        <f>I31*D9</f>
        <v>1690.71875</v>
      </c>
      <c r="I31" s="205">
        <f>K31/'DECISIÓN FINAL DE CUBICAJE'!B52</f>
        <v>0.40509259259259262</v>
      </c>
      <c r="J31" s="91">
        <f>K31*D9</f>
        <v>7303905</v>
      </c>
      <c r="K31" s="232">
        <f>350*5</f>
        <v>1750</v>
      </c>
      <c r="O31" s="293" t="s">
        <v>253</v>
      </c>
      <c r="P31" s="293"/>
      <c r="Q31" s="234">
        <f>260000/D8</f>
        <v>61.954915884287274</v>
      </c>
    </row>
    <row r="32" spans="1:33" x14ac:dyDescent="0.25">
      <c r="A32" s="326"/>
      <c r="B32" s="327"/>
      <c r="C32" s="1" t="s">
        <v>232</v>
      </c>
      <c r="D32" s="165">
        <f>E32*D8</f>
        <v>213.71574074074076</v>
      </c>
      <c r="E32" s="178">
        <f>220/'DECISIÓN FINAL DE CUBICAJE'!B52</f>
        <v>5.0925925925925923E-2</v>
      </c>
      <c r="F32" s="91">
        <f>G32*D8</f>
        <v>923252.00000000012</v>
      </c>
      <c r="G32" s="178">
        <f>220</f>
        <v>220</v>
      </c>
      <c r="H32" s="90">
        <f>I32*D9</f>
        <v>212.54749999999999</v>
      </c>
      <c r="I32" s="189">
        <f>220/'DECISIÓN FINAL DE CUBICAJE'!B52</f>
        <v>5.0925925925925923E-2</v>
      </c>
      <c r="J32" s="91">
        <f>K32*D9</f>
        <v>918205.2</v>
      </c>
      <c r="K32" s="215">
        <v>220</v>
      </c>
      <c r="O32" s="293" t="s">
        <v>248</v>
      </c>
      <c r="P32" s="293"/>
      <c r="Q32" s="234">
        <f>SUM(Q27:Q31)</f>
        <v>522.43906972310913</v>
      </c>
    </row>
    <row r="33" spans="1:24" x14ac:dyDescent="0.25">
      <c r="A33" s="326"/>
      <c r="B33" s="327"/>
      <c r="C33" s="152"/>
      <c r="D33" s="93"/>
      <c r="E33" s="185"/>
      <c r="F33" s="93"/>
      <c r="G33" s="185"/>
      <c r="H33" s="93"/>
      <c r="I33" s="185"/>
      <c r="J33" s="93"/>
      <c r="K33" s="220"/>
      <c r="O33" s="80"/>
      <c r="P33" s="80"/>
      <c r="Q33" s="80"/>
      <c r="R33" s="80"/>
    </row>
    <row r="34" spans="1:24" x14ac:dyDescent="0.25">
      <c r="A34" s="326"/>
      <c r="B34" s="327"/>
      <c r="C34" s="79" t="s">
        <v>7</v>
      </c>
      <c r="D34" s="156">
        <f>SUM(D19:D26,D28,D29,D30,D32,D17)</f>
        <v>849854.03449629643</v>
      </c>
      <c r="E34" s="178">
        <f>SUM(E19:E26,E28,E29,E30,E32,E17)</f>
        <v>201.13222819178137</v>
      </c>
      <c r="F34" s="156">
        <f>SUM(F19:F26,F28,F29,F30,F32,F17)</f>
        <v>5017240032.0240002</v>
      </c>
      <c r="G34" s="178">
        <f>SUM(G19:G26,G28,G29,G30,G32,G17)</f>
        <v>1195548.7852127913</v>
      </c>
      <c r="H34" s="94"/>
      <c r="I34" s="187"/>
      <c r="J34" s="95"/>
      <c r="K34" s="221"/>
      <c r="O34" s="256" t="s">
        <v>254</v>
      </c>
      <c r="P34" s="258"/>
      <c r="Q34" s="147" t="s">
        <v>4</v>
      </c>
    </row>
    <row r="35" spans="1:24" ht="15.75" thickBot="1" x14ac:dyDescent="0.3">
      <c r="A35" s="328"/>
      <c r="B35" s="329"/>
      <c r="C35" s="79" t="s">
        <v>8</v>
      </c>
      <c r="D35" s="172"/>
      <c r="E35" s="186"/>
      <c r="F35" s="172"/>
      <c r="G35" s="186"/>
      <c r="H35" s="96">
        <f>SUM(H19:H32)</f>
        <v>15439.027040740739</v>
      </c>
      <c r="I35" s="207">
        <f>SUM(I19:I32)</f>
        <v>3.6991578232871727</v>
      </c>
      <c r="J35" s="96">
        <f>SUM(J19:J32)</f>
        <v>413778162.41599995</v>
      </c>
      <c r="K35" s="207">
        <f>SUM(K19:K32)</f>
        <v>99140.361796600584</v>
      </c>
      <c r="O35" s="283" t="s">
        <v>249</v>
      </c>
      <c r="P35" s="283"/>
      <c r="Q35" s="233">
        <f>Q27</f>
        <v>118</v>
      </c>
    </row>
    <row r="36" spans="1:24" x14ac:dyDescent="0.25">
      <c r="A36" s="150"/>
      <c r="B36" s="75"/>
      <c r="C36" s="79" t="s">
        <v>9</v>
      </c>
      <c r="D36" s="94">
        <f>SUM(D17,D19:D32)</f>
        <v>849897.09005185205</v>
      </c>
      <c r="E36" s="187">
        <f>SUM(E17,E19:E32)</f>
        <v>201.14248781994598</v>
      </c>
      <c r="F36" s="94">
        <f>SUM(F17,F19:F32)</f>
        <v>5018170032.0240011</v>
      </c>
      <c r="G36" s="187">
        <f>SUM(G17,G19:G32)</f>
        <v>1195770.3931811466</v>
      </c>
      <c r="H36" s="94"/>
      <c r="I36" s="187"/>
      <c r="J36" s="95"/>
      <c r="K36" s="221"/>
      <c r="O36" s="293" t="s">
        <v>250</v>
      </c>
      <c r="P36" s="293"/>
      <c r="Q36" s="234">
        <f>Q28</f>
        <v>127.4841538388219</v>
      </c>
    </row>
    <row r="37" spans="1:24" x14ac:dyDescent="0.25">
      <c r="A37" s="75"/>
      <c r="B37" s="75"/>
      <c r="C37" s="29"/>
      <c r="D37" s="93"/>
      <c r="E37" s="188"/>
      <c r="F37" s="93"/>
      <c r="G37" s="185"/>
      <c r="H37" s="93"/>
      <c r="I37" s="185"/>
      <c r="J37" s="93"/>
      <c r="K37" s="215"/>
      <c r="L37" s="29"/>
      <c r="O37" s="293" t="s">
        <v>304</v>
      </c>
      <c r="P37" s="293"/>
      <c r="Q37" s="234">
        <f>D27</f>
        <v>43.055555555555557</v>
      </c>
    </row>
    <row r="38" spans="1:24" ht="15" customHeight="1" x14ac:dyDescent="0.25">
      <c r="A38" s="75"/>
      <c r="C38" s="169" t="s">
        <v>234</v>
      </c>
      <c r="D38" s="90">
        <f>E38*D8</f>
        <v>22061.293055555558</v>
      </c>
      <c r="E38" s="189">
        <f>G38/'DECISIÓN FINAL DE CUBICAJE'!B52</f>
        <v>5.2569444444444446</v>
      </c>
      <c r="F38" s="90">
        <f>G38*D8</f>
        <v>95304786.000000015</v>
      </c>
      <c r="G38" s="189">
        <f>R51</f>
        <v>22710</v>
      </c>
      <c r="H38" s="90"/>
      <c r="I38" s="189"/>
      <c r="J38" s="97"/>
      <c r="K38" s="215"/>
      <c r="L38" s="29"/>
      <c r="M38" s="153"/>
      <c r="O38" s="293" t="s">
        <v>252</v>
      </c>
      <c r="P38" s="293"/>
      <c r="Q38" s="234">
        <f>2150/D8</f>
        <v>0.51231949673545252</v>
      </c>
    </row>
    <row r="39" spans="1:24" x14ac:dyDescent="0.25">
      <c r="A39" s="330" t="s">
        <v>233</v>
      </c>
      <c r="B39" s="330"/>
      <c r="C39" s="169" t="s">
        <v>235</v>
      </c>
      <c r="D39" s="98"/>
      <c r="E39" s="189"/>
      <c r="F39" s="98"/>
      <c r="G39" s="188"/>
      <c r="H39" s="90">
        <f>I39*D9</f>
        <v>11686.248000000001</v>
      </c>
      <c r="I39" s="208">
        <f>K39/'DECISIÓN FINAL DE CUBICAJE'!B52</f>
        <v>2.8000000000000003</v>
      </c>
      <c r="J39" s="90">
        <f>K39*D9</f>
        <v>50484591.360000007</v>
      </c>
      <c r="K39" s="222">
        <f>0.2*14*'DECISIÓN FINAL DE CUBICAJE'!B52</f>
        <v>12096.000000000002</v>
      </c>
      <c r="L39" s="29"/>
      <c r="M39" s="159"/>
      <c r="O39" s="293" t="s">
        <v>253</v>
      </c>
      <c r="P39" s="293"/>
      <c r="Q39" s="234">
        <f>260000/D8</f>
        <v>61.954915884287274</v>
      </c>
    </row>
    <row r="40" spans="1:24" x14ac:dyDescent="0.25">
      <c r="A40" s="330"/>
      <c r="B40" s="330"/>
      <c r="C40" s="169" t="s">
        <v>272</v>
      </c>
      <c r="D40" s="141">
        <f>E40*D8</f>
        <v>16295.255400030186</v>
      </c>
      <c r="E40" s="182">
        <f>G40/'DECISIÓN FINAL DE CUBICAJE'!B52</f>
        <v>3.8829660677763389</v>
      </c>
      <c r="F40" s="141">
        <f>G40*D8</f>
        <v>70395503.328130394</v>
      </c>
      <c r="G40" s="182">
        <f>Z54</f>
        <v>16774.413412793783</v>
      </c>
      <c r="H40" s="91"/>
      <c r="I40" s="182"/>
      <c r="J40" s="91"/>
      <c r="K40" s="218"/>
      <c r="L40" s="29"/>
      <c r="O40" s="293" t="s">
        <v>248</v>
      </c>
      <c r="P40" s="293"/>
      <c r="Q40" s="234">
        <f>SUM(Q35:Q39)*23%</f>
        <v>80.731597298342052</v>
      </c>
    </row>
    <row r="41" spans="1:24" x14ac:dyDescent="0.25">
      <c r="A41" s="330"/>
      <c r="B41" s="330"/>
      <c r="C41" s="169" t="s">
        <v>273</v>
      </c>
      <c r="D41" s="92"/>
      <c r="E41" s="233"/>
      <c r="F41" s="91"/>
      <c r="G41" s="233"/>
      <c r="H41" s="92">
        <f>I41*D9</f>
        <v>9236.9607104152728</v>
      </c>
      <c r="I41" s="206">
        <f>K41/'DECISIÓN FINAL DE CUBICAJE'!B52</f>
        <v>2.2131560094533991</v>
      </c>
      <c r="J41" s="99">
        <f>K41*D9</f>
        <v>39903670.268993974</v>
      </c>
      <c r="K41" s="219">
        <f>T70</f>
        <v>9560.8339608386832</v>
      </c>
      <c r="L41" s="29"/>
    </row>
    <row r="42" spans="1:24" ht="15" customHeight="1" thickBot="1" x14ac:dyDescent="0.3">
      <c r="A42" s="330"/>
      <c r="B42" s="330"/>
      <c r="C42" s="29"/>
      <c r="D42" s="87"/>
      <c r="E42" s="190"/>
      <c r="F42" s="87"/>
      <c r="G42" s="190"/>
      <c r="H42" s="87"/>
      <c r="I42" s="190"/>
      <c r="J42" s="87"/>
      <c r="K42" s="223"/>
      <c r="L42" s="29"/>
    </row>
    <row r="43" spans="1:24" ht="15.75" thickBot="1" x14ac:dyDescent="0.3">
      <c r="A43" s="330"/>
      <c r="B43" s="330"/>
      <c r="C43" s="170" t="s">
        <v>10</v>
      </c>
      <c r="D43" s="100">
        <f>D36+D38</f>
        <v>871958.3831074076</v>
      </c>
      <c r="E43" s="191">
        <f>E36+E38</f>
        <v>206.39943226439044</v>
      </c>
      <c r="F43" s="101">
        <f>F36+F38</f>
        <v>5113474818.0240011</v>
      </c>
      <c r="G43" s="191">
        <f>G36+G38</f>
        <v>1218480.3931811466</v>
      </c>
      <c r="H43" s="101"/>
      <c r="I43" s="191"/>
      <c r="J43" s="101"/>
      <c r="K43" s="224"/>
      <c r="O43" s="256" t="s">
        <v>309</v>
      </c>
      <c r="P43" s="258"/>
    </row>
    <row r="44" spans="1:24" ht="15.75" thickBot="1" x14ac:dyDescent="0.3">
      <c r="A44" s="330"/>
      <c r="B44" s="330"/>
      <c r="C44" s="170" t="s">
        <v>11</v>
      </c>
      <c r="D44" s="100">
        <f>D43+D40</f>
        <v>888253.63850743778</v>
      </c>
      <c r="E44" s="191">
        <f>E43+E40</f>
        <v>210.28239833216679</v>
      </c>
      <c r="F44" s="101">
        <f>F43+F40</f>
        <v>5183870321.3521318</v>
      </c>
      <c r="G44" s="191">
        <f>G43+G40</f>
        <v>1235254.8065939404</v>
      </c>
      <c r="H44" s="101"/>
      <c r="I44" s="191"/>
      <c r="J44" s="101"/>
      <c r="K44" s="224"/>
      <c r="O44" s="1" t="s">
        <v>258</v>
      </c>
      <c r="P44" s="113">
        <v>4350</v>
      </c>
      <c r="Q44" s="29"/>
      <c r="R44" s="160"/>
      <c r="V44" s="283" t="s">
        <v>315</v>
      </c>
      <c r="W44" s="283"/>
    </row>
    <row r="45" spans="1:24" ht="15.75" thickBot="1" x14ac:dyDescent="0.3">
      <c r="A45" s="330"/>
      <c r="B45" s="330"/>
      <c r="C45" s="170" t="s">
        <v>12</v>
      </c>
      <c r="D45" s="100"/>
      <c r="E45" s="191"/>
      <c r="F45" s="101"/>
      <c r="G45" s="191"/>
      <c r="H45" s="102">
        <f>H35+H39</f>
        <v>27125.27504074074</v>
      </c>
      <c r="I45" s="102">
        <f>I35+I39</f>
        <v>6.499157823287173</v>
      </c>
      <c r="J45" s="102">
        <f t="shared" ref="J45" si="0">J35+J39</f>
        <v>464262753.77599996</v>
      </c>
      <c r="K45" s="102">
        <f>K35+K39</f>
        <v>111236.36179660058</v>
      </c>
      <c r="O45" s="1" t="s">
        <v>259</v>
      </c>
      <c r="P45" s="114">
        <v>4.0000000000000001E-3</v>
      </c>
      <c r="Q45" s="77">
        <f>P44*P45</f>
        <v>17.400000000000002</v>
      </c>
      <c r="R45" s="160"/>
      <c r="V45" s="116" t="s">
        <v>9</v>
      </c>
      <c r="W45" s="116" t="s">
        <v>263</v>
      </c>
      <c r="X45" s="116" t="s">
        <v>10</v>
      </c>
    </row>
    <row r="46" spans="1:24" ht="15.75" thickBot="1" x14ac:dyDescent="0.3">
      <c r="A46" s="330"/>
      <c r="B46" s="330"/>
      <c r="C46" s="170" t="s">
        <v>13</v>
      </c>
      <c r="D46" s="100"/>
      <c r="E46" s="191"/>
      <c r="F46" s="101"/>
      <c r="G46" s="191"/>
      <c r="H46" s="103">
        <f>H45+H41</f>
        <v>36362.235751156011</v>
      </c>
      <c r="I46" s="209">
        <f>I45+I41</f>
        <v>8.7123138327405716</v>
      </c>
      <c r="J46" s="103">
        <f>J45+J41</f>
        <v>504166424.04499394</v>
      </c>
      <c r="K46" s="226">
        <f>K45+K41</f>
        <v>120797.19575743927</v>
      </c>
      <c r="O46" s="1" t="s">
        <v>3</v>
      </c>
      <c r="P46" s="114">
        <v>6.0000000000000001E-3</v>
      </c>
      <c r="Q46" s="77">
        <f>P44*P46</f>
        <v>26.1</v>
      </c>
      <c r="R46" s="160"/>
      <c r="V46" s="77">
        <f>G36</f>
        <v>1195770.3931811466</v>
      </c>
      <c r="W46" s="77">
        <f>R51</f>
        <v>22710</v>
      </c>
      <c r="X46" s="77">
        <f>V46+W46</f>
        <v>1218480.3931811466</v>
      </c>
    </row>
    <row r="47" spans="1:24" ht="15.75" thickBot="1" x14ac:dyDescent="0.3">
      <c r="A47" s="330"/>
      <c r="B47" s="330"/>
      <c r="C47" s="29"/>
      <c r="D47" s="87"/>
      <c r="E47" s="190"/>
      <c r="F47" s="87"/>
      <c r="G47" s="201"/>
      <c r="H47" s="87"/>
      <c r="I47" s="190"/>
      <c r="J47" s="87"/>
      <c r="K47" s="223"/>
      <c r="O47" s="1" t="s">
        <v>260</v>
      </c>
      <c r="P47" s="114">
        <v>4.0000000000000001E-3</v>
      </c>
      <c r="Q47" s="77">
        <f>P44*P47</f>
        <v>17.400000000000002</v>
      </c>
      <c r="R47" s="160"/>
      <c r="V47" s="29"/>
      <c r="W47" s="116" t="s">
        <v>264</v>
      </c>
      <c r="X47" s="118" t="s">
        <v>265</v>
      </c>
    </row>
    <row r="48" spans="1:24" ht="15" customHeight="1" x14ac:dyDescent="0.25">
      <c r="A48" s="167"/>
      <c r="B48" s="75"/>
      <c r="C48" s="237" t="s">
        <v>238</v>
      </c>
      <c r="D48" s="162">
        <f>F48/'DECISIÓN FINAL DE CUBICAJE'!B52</f>
        <v>78.425514171810704</v>
      </c>
      <c r="E48" s="192">
        <f>D48/D8</f>
        <v>1.8687869744986582E-2</v>
      </c>
      <c r="F48" s="105">
        <f>G48*D8</f>
        <v>338798.22122222226</v>
      </c>
      <c r="G48" s="202">
        <f>Q40</f>
        <v>80.731597298342052</v>
      </c>
      <c r="H48" s="105"/>
      <c r="I48" s="202"/>
      <c r="J48" s="105"/>
      <c r="K48" s="227"/>
      <c r="O48" s="1" t="s">
        <v>261</v>
      </c>
      <c r="P48" s="114">
        <v>6.0000000000000001E-3</v>
      </c>
      <c r="Q48" s="77">
        <f>P44*P48</f>
        <v>26.1</v>
      </c>
      <c r="R48" s="160"/>
      <c r="U48" s="29"/>
      <c r="W48" s="117">
        <v>0.81</v>
      </c>
      <c r="X48" s="77">
        <f>X46/W49</f>
        <v>1504296.7817051192</v>
      </c>
    </row>
    <row r="49" spans="1:26" x14ac:dyDescent="0.25">
      <c r="A49" s="330" t="s">
        <v>237</v>
      </c>
      <c r="B49" s="330"/>
      <c r="C49" s="168" t="s">
        <v>236</v>
      </c>
      <c r="D49" s="156"/>
      <c r="E49" s="178"/>
      <c r="F49" s="90"/>
      <c r="G49" s="189"/>
      <c r="H49" s="90">
        <f>I49*D9</f>
        <v>959941.79999999993</v>
      </c>
      <c r="I49" s="189">
        <v>230</v>
      </c>
      <c r="J49" s="90">
        <f>K49*D9</f>
        <v>4799709</v>
      </c>
      <c r="K49" s="231">
        <f>230*5</f>
        <v>1150</v>
      </c>
      <c r="O49" s="1" t="s">
        <v>262</v>
      </c>
      <c r="P49" s="1">
        <v>105</v>
      </c>
      <c r="Q49" s="77">
        <f>P49</f>
        <v>105</v>
      </c>
      <c r="R49" s="160"/>
      <c r="W49" s="1">
        <v>0.81</v>
      </c>
    </row>
    <row r="50" spans="1:26" ht="15.75" thickBot="1" x14ac:dyDescent="0.3">
      <c r="A50" s="330"/>
      <c r="B50" s="330"/>
      <c r="C50" s="169" t="s">
        <v>239</v>
      </c>
      <c r="D50" s="156">
        <f>E50*D8</f>
        <v>291.4305555555556</v>
      </c>
      <c r="E50" s="178">
        <f>300/'DECISIÓN FINAL DE CUBICAJE'!B52</f>
        <v>6.9444444444444448E-2</v>
      </c>
      <c r="F50" s="90">
        <f>G50*D8</f>
        <v>1258980</v>
      </c>
      <c r="G50" s="189">
        <v>300</v>
      </c>
      <c r="H50" s="89"/>
      <c r="I50" s="177"/>
      <c r="J50" s="86"/>
      <c r="K50" s="213"/>
      <c r="O50" s="256" t="s">
        <v>248</v>
      </c>
      <c r="P50" s="258"/>
      <c r="Q50" s="77">
        <f>SUM(Q45:Q49)</f>
        <v>192</v>
      </c>
      <c r="R50" s="147" t="s">
        <v>271</v>
      </c>
    </row>
    <row r="51" spans="1:26" ht="15.75" thickBot="1" x14ac:dyDescent="0.3">
      <c r="A51" s="330"/>
      <c r="B51" s="330"/>
      <c r="C51" s="168" t="s">
        <v>240</v>
      </c>
      <c r="D51" s="156">
        <f>E51*D8</f>
        <v>31.895455246913585</v>
      </c>
      <c r="E51" s="198">
        <f>G51/'DECISIÓN FINAL DE CUBICAJE'!B52</f>
        <v>7.6003086419753089E-3</v>
      </c>
      <c r="F51" s="156">
        <f>G51*D8</f>
        <v>137788.3666666667</v>
      </c>
      <c r="G51" s="180">
        <f>985/60*2</f>
        <v>32.833333333333336</v>
      </c>
      <c r="H51" s="157">
        <f>I51*D9</f>
        <v>31.721104166666667</v>
      </c>
      <c r="I51" s="211">
        <f>985/60*2/'DECISIÓN FINAL DE CUBICAJE'!B52</f>
        <v>7.6003086419753089E-3</v>
      </c>
      <c r="J51" s="158">
        <f>K51*D9</f>
        <v>4111055.0999999996</v>
      </c>
      <c r="K51" s="228">
        <v>985</v>
      </c>
      <c r="Q51" s="81">
        <f>Q50+P44</f>
        <v>4542</v>
      </c>
      <c r="R51" s="81">
        <f>Q51*5</f>
        <v>22710</v>
      </c>
      <c r="V51" s="283" t="s">
        <v>310</v>
      </c>
      <c r="W51" s="283"/>
    </row>
    <row r="52" spans="1:26" x14ac:dyDescent="0.25">
      <c r="A52" s="330"/>
      <c r="B52" s="330"/>
      <c r="C52" s="169" t="s">
        <v>241</v>
      </c>
      <c r="D52" s="162">
        <f>D44*20%</f>
        <v>177650.72770148757</v>
      </c>
      <c r="E52" s="193">
        <f>E44*20%</f>
        <v>42.056479666433361</v>
      </c>
      <c r="F52" s="104">
        <f>F44*20%</f>
        <v>1036774064.2704264</v>
      </c>
      <c r="G52" s="203">
        <f>G44*20%</f>
        <v>247050.96131878809</v>
      </c>
      <c r="H52" s="229">
        <f t="shared" ref="H52:J52" si="1">H46*20%</f>
        <v>7272.4471502312026</v>
      </c>
      <c r="I52" s="229">
        <f>I46*20%</f>
        <v>1.7424627665481145</v>
      </c>
      <c r="J52" s="229">
        <f t="shared" si="1"/>
        <v>100833284.80899879</v>
      </c>
      <c r="K52" s="229">
        <f>K46*20%</f>
        <v>24159.439151487855</v>
      </c>
      <c r="U52" s="147" t="s">
        <v>267</v>
      </c>
      <c r="V52" s="147" t="s">
        <v>268</v>
      </c>
      <c r="W52" s="147" t="s">
        <v>269</v>
      </c>
      <c r="X52" s="147" t="s">
        <v>306</v>
      </c>
      <c r="Y52" s="1"/>
    </row>
    <row r="53" spans="1:26" x14ac:dyDescent="0.25">
      <c r="A53" s="330"/>
      <c r="B53" s="330"/>
      <c r="C53" s="169" t="s">
        <v>242</v>
      </c>
      <c r="D53" s="154">
        <f>E53*D8</f>
        <v>1894.2986111111113</v>
      </c>
      <c r="E53" s="180">
        <f>G53/'DECISIÓN FINAL DE CUBICAJE'!B52</f>
        <v>0.4513888888888889</v>
      </c>
      <c r="F53" s="90">
        <f>G53*D8</f>
        <v>8183370.0000000009</v>
      </c>
      <c r="G53" s="177">
        <v>1950</v>
      </c>
      <c r="H53" s="86">
        <f>I53*D9</f>
        <v>917.81875000000002</v>
      </c>
      <c r="I53" s="177">
        <f>950/'DECISIÓN FINAL DE CUBICAJE'!B52</f>
        <v>0.21990740740740741</v>
      </c>
      <c r="J53" s="86">
        <f>K53*D9</f>
        <v>8138637</v>
      </c>
      <c r="K53" s="213">
        <v>1950</v>
      </c>
      <c r="T53" s="147" t="s">
        <v>266</v>
      </c>
      <c r="U53" s="114">
        <v>8.9999999999999993E-3</v>
      </c>
      <c r="V53" s="117">
        <v>0.05</v>
      </c>
      <c r="W53" s="117">
        <v>0.18</v>
      </c>
      <c r="X53" s="77">
        <f>U54+V54</f>
        <v>14215.604587113376</v>
      </c>
      <c r="Y53" s="77">
        <f>U54+V54</f>
        <v>14215.604587113376</v>
      </c>
      <c r="Z53" s="147" t="s">
        <v>305</v>
      </c>
    </row>
    <row r="54" spans="1:26" x14ac:dyDescent="0.25">
      <c r="A54" s="330"/>
      <c r="B54" s="330"/>
      <c r="C54" s="168" t="s">
        <v>243</v>
      </c>
      <c r="D54" s="154">
        <f>E54*D8</f>
        <v>184.57268518518521</v>
      </c>
      <c r="E54" s="180">
        <f>190/'DECISIÓN FINAL DE CUBICAJE'!B52</f>
        <v>4.3981481481481483E-2</v>
      </c>
      <c r="F54" s="90">
        <f>G54*D8</f>
        <v>797354.00000000012</v>
      </c>
      <c r="G54" s="177">
        <v>190</v>
      </c>
      <c r="H54" s="86"/>
      <c r="I54" s="177"/>
      <c r="J54" s="86"/>
      <c r="K54" s="213"/>
      <c r="T54" s="77">
        <f>X48</f>
        <v>1504296.7817051192</v>
      </c>
      <c r="U54" s="77">
        <f>T54*U53</f>
        <v>13538.671035346071</v>
      </c>
      <c r="V54" s="119">
        <f>U54*V53</f>
        <v>676.93355176730358</v>
      </c>
      <c r="W54" s="1">
        <v>0.18</v>
      </c>
      <c r="X54" s="1" t="s">
        <v>270</v>
      </c>
      <c r="Y54" s="77">
        <f>Y53*W54</f>
        <v>2558.8088256804076</v>
      </c>
      <c r="Z54" s="113">
        <f>Y53+Y54</f>
        <v>16774.413412793783</v>
      </c>
    </row>
    <row r="55" spans="1:26" x14ac:dyDescent="0.25">
      <c r="A55" s="330"/>
      <c r="B55" s="330"/>
      <c r="C55" s="169" t="s">
        <v>244</v>
      </c>
      <c r="D55" s="154">
        <f>D44*8%</f>
        <v>71060.291080595023</v>
      </c>
      <c r="E55" s="194">
        <f>E44*8%</f>
        <v>16.822591866573344</v>
      </c>
      <c r="F55" s="89">
        <f>F44*8%</f>
        <v>414709625.70817053</v>
      </c>
      <c r="G55" s="204">
        <f>G44*8%</f>
        <v>98820.384527515227</v>
      </c>
      <c r="H55" s="86">
        <f>H45*8%</f>
        <v>2170.0220032592592</v>
      </c>
      <c r="I55" s="210">
        <f>I45*8%</f>
        <v>0.51993262586297384</v>
      </c>
      <c r="J55" s="86">
        <f>J45*8%</f>
        <v>37141020.302079998</v>
      </c>
      <c r="K55" s="229">
        <f>K45*8%</f>
        <v>8898.9089437280472</v>
      </c>
    </row>
    <row r="56" spans="1:26" ht="15.75" thickBot="1" x14ac:dyDescent="0.3">
      <c r="A56" s="330"/>
      <c r="B56" s="330"/>
      <c r="C56" s="43" t="s">
        <v>312</v>
      </c>
      <c r="D56" s="106">
        <f>D43*5%</f>
        <v>43597.919155370386</v>
      </c>
      <c r="E56" s="238">
        <v>0.05</v>
      </c>
      <c r="F56" s="195">
        <f>F43*E56</f>
        <v>255673740.90120006</v>
      </c>
      <c r="G56" s="195">
        <f>G43*E56</f>
        <v>60924.019659057332</v>
      </c>
      <c r="H56" s="106">
        <f>H45/'DECISIÓN FINAL DE CUBICAJE'!B52</f>
        <v>6.2789988520233191</v>
      </c>
      <c r="I56" s="245">
        <f>I45*E56</f>
        <v>0.32495789116435869</v>
      </c>
      <c r="J56" s="195">
        <f>J45*E56</f>
        <v>23213137.6888</v>
      </c>
      <c r="K56" s="195">
        <f>K45*E56</f>
        <v>5561.8180898300297</v>
      </c>
      <c r="O56" s="149"/>
      <c r="P56" s="331" t="s">
        <v>314</v>
      </c>
      <c r="Q56" s="331"/>
    </row>
    <row r="57" spans="1:26" ht="15.75" thickBot="1" x14ac:dyDescent="0.3">
      <c r="A57" s="330"/>
      <c r="B57" s="330"/>
      <c r="C57" s="171"/>
      <c r="D57" s="241"/>
      <c r="E57" s="242"/>
      <c r="F57" s="244"/>
      <c r="G57" s="244"/>
      <c r="H57" s="241"/>
      <c r="I57" s="242"/>
      <c r="J57" s="244"/>
      <c r="K57" s="244"/>
      <c r="N57" s="29"/>
      <c r="O57" s="29"/>
      <c r="P57" s="115" t="s">
        <v>8</v>
      </c>
      <c r="Q57" s="116" t="s">
        <v>263</v>
      </c>
    </row>
    <row r="58" spans="1:26" ht="15.75" thickBot="1" x14ac:dyDescent="0.3">
      <c r="A58" s="330"/>
      <c r="B58" s="330"/>
      <c r="C58" s="170" t="s">
        <v>14</v>
      </c>
      <c r="D58" s="173">
        <f>SUM(D19:D32,D38:D41,D48)</f>
        <v>65798.464021609412</v>
      </c>
      <c r="E58" s="196">
        <f t="shared" ref="E58:K58" si="2">SUM(E19:E32,E38:E41,E48)</f>
        <v>14.301086201911723</v>
      </c>
      <c r="F58" s="173">
        <f>SUM(F19:F32,F38:F41,F48)</f>
        <v>1630863967.5733526</v>
      </c>
      <c r="G58" s="196">
        <f>SUM(G19:G32,G38:G41,G48)</f>
        <v>388615.53819123877</v>
      </c>
      <c r="H58" s="173">
        <f t="shared" si="2"/>
        <v>36362.235751156011</v>
      </c>
      <c r="I58" s="196">
        <f t="shared" si="2"/>
        <v>8.7123138327405716</v>
      </c>
      <c r="J58" s="173">
        <f t="shared" si="2"/>
        <v>504166424.04499394</v>
      </c>
      <c r="K58" s="230">
        <f t="shared" si="2"/>
        <v>120797.19575743927</v>
      </c>
      <c r="N58" s="149"/>
      <c r="O58" s="29"/>
      <c r="P58" s="77">
        <f>K35</f>
        <v>99140.361796600584</v>
      </c>
      <c r="Q58" s="77">
        <f>K39</f>
        <v>12096.000000000002</v>
      </c>
      <c r="R58" s="116" t="s">
        <v>12</v>
      </c>
    </row>
    <row r="59" spans="1:26" ht="15" customHeight="1" thickBot="1" x14ac:dyDescent="0.3">
      <c r="A59" s="330"/>
      <c r="B59" s="330"/>
      <c r="C59" s="170" t="s">
        <v>15</v>
      </c>
      <c r="D59" s="173">
        <f>SUM(D19:D32,D38:D40,D48:D50,D53)</f>
        <v>67984.193188276084</v>
      </c>
      <c r="E59" s="196">
        <f t="shared" ref="E59:K59" si="3">SUM(E19:E32,E38:E40,E48:E50,E53)</f>
        <v>14.821919535245057</v>
      </c>
      <c r="F59" s="173">
        <f t="shared" si="3"/>
        <v>1640306317.5733526</v>
      </c>
      <c r="G59" s="196">
        <f t="shared" si="3"/>
        <v>390865.53819123877</v>
      </c>
      <c r="H59" s="173">
        <f t="shared" si="3"/>
        <v>987984.89379074064</v>
      </c>
      <c r="I59" s="196">
        <f t="shared" si="3"/>
        <v>236.71906523069458</v>
      </c>
      <c r="J59" s="173">
        <f t="shared" si="3"/>
        <v>477201099.77599996</v>
      </c>
      <c r="K59" s="230">
        <f t="shared" si="3"/>
        <v>114336.36179660058</v>
      </c>
      <c r="N59" s="29"/>
      <c r="Q59" s="148" t="s">
        <v>264</v>
      </c>
      <c r="R59" s="77">
        <f>P58+Q58</f>
        <v>111236.36179660058</v>
      </c>
    </row>
    <row r="60" spans="1:26" ht="15.75" thickBot="1" x14ac:dyDescent="0.3">
      <c r="A60" s="330"/>
      <c r="B60" s="330"/>
      <c r="C60" s="79" t="s">
        <v>16</v>
      </c>
      <c r="D60" s="173">
        <f>SUM(D19:D32,D38:D41,D48:D56)</f>
        <v>360509.59926616115</v>
      </c>
      <c r="E60" s="196">
        <f>SUM(E19:E32,E38:E41,E48:E56)</f>
        <v>73.802572858375214</v>
      </c>
      <c r="F60" s="173">
        <f>SUM(F19:F32,F38:F41,F48:F56)</f>
        <v>3348398890.8198156</v>
      </c>
      <c r="G60" s="196">
        <f>SUM(G19:G32,G38:G41,G48:G56)</f>
        <v>797883.73702993279</v>
      </c>
      <c r="H60" s="173">
        <f>SUM(H19:H32,H38:H41,H48:H55)</f>
        <v>1006696.0447588131</v>
      </c>
      <c r="I60" s="196">
        <f>SUM(I19:I32,I38:I41,I48:I55)</f>
        <v>241.20221694120102</v>
      </c>
      <c r="J60" s="173">
        <f>SUM(J19:J32,J38:J41,J48:J55)</f>
        <v>659190130.25607276</v>
      </c>
      <c r="K60" s="230">
        <f>SUM(K19:K32,K38:K41,K48:K55)</f>
        <v>157940.54385265519</v>
      </c>
      <c r="Q60" s="1">
        <v>0.81</v>
      </c>
      <c r="R60" s="118" t="s">
        <v>265</v>
      </c>
    </row>
    <row r="61" spans="1:26" x14ac:dyDescent="0.25">
      <c r="A61" s="167"/>
      <c r="B61" s="167"/>
      <c r="O61" s="121"/>
      <c r="Q61" s="117">
        <v>0.81</v>
      </c>
      <c r="R61" s="77">
        <f>R59/Q60</f>
        <v>137328.84172419825</v>
      </c>
    </row>
    <row r="62" spans="1:26" x14ac:dyDescent="0.25">
      <c r="A62" s="167"/>
      <c r="B62" s="167"/>
      <c r="L62" s="80"/>
      <c r="M62" s="80"/>
      <c r="N62" s="29"/>
      <c r="O62" s="29"/>
    </row>
    <row r="63" spans="1:26" x14ac:dyDescent="0.25">
      <c r="A63" s="167"/>
      <c r="B63" s="167"/>
      <c r="N63" s="29"/>
      <c r="O63" s="29"/>
    </row>
    <row r="64" spans="1:26" x14ac:dyDescent="0.25">
      <c r="A64" s="167"/>
      <c r="B64" s="167"/>
      <c r="N64" s="29"/>
    </row>
    <row r="65" spans="1:20" x14ac:dyDescent="0.25">
      <c r="A65" s="167"/>
      <c r="B65" s="167"/>
      <c r="N65" s="29"/>
    </row>
    <row r="66" spans="1:20" x14ac:dyDescent="0.25">
      <c r="A66" s="167"/>
      <c r="B66" s="167"/>
    </row>
    <row r="67" spans="1:20" x14ac:dyDescent="0.25">
      <c r="A67" s="167"/>
      <c r="B67" s="167"/>
      <c r="P67" s="283" t="s">
        <v>311</v>
      </c>
      <c r="Q67" s="283"/>
    </row>
    <row r="68" spans="1:20" x14ac:dyDescent="0.25">
      <c r="A68" s="167"/>
      <c r="B68" s="167"/>
      <c r="O68" s="147" t="s">
        <v>267</v>
      </c>
      <c r="P68" s="147" t="s">
        <v>268</v>
      </c>
      <c r="Q68" s="147" t="s">
        <v>269</v>
      </c>
      <c r="R68" s="147" t="s">
        <v>306</v>
      </c>
      <c r="S68" s="1"/>
    </row>
    <row r="69" spans="1:20" x14ac:dyDescent="0.25">
      <c r="A69" s="167"/>
      <c r="B69" s="167"/>
      <c r="N69" s="147" t="s">
        <v>266</v>
      </c>
      <c r="O69" s="114">
        <v>8.9999999999999993E-3</v>
      </c>
      <c r="P69" s="117">
        <v>0.05</v>
      </c>
      <c r="Q69" s="117">
        <v>0.18</v>
      </c>
      <c r="R69" s="77">
        <f>O70+P70</f>
        <v>8102.4016617276975</v>
      </c>
      <c r="S69" s="120">
        <f>O70+P70</f>
        <v>8102.4016617276975</v>
      </c>
      <c r="T69" s="147" t="s">
        <v>305</v>
      </c>
    </row>
    <row r="70" spans="1:20" x14ac:dyDescent="0.25">
      <c r="A70" s="167"/>
      <c r="B70" s="167"/>
      <c r="N70" s="119">
        <f>R61</f>
        <v>137328.84172419825</v>
      </c>
      <c r="O70" s="120">
        <f>N70*O69</f>
        <v>1235.9595755177843</v>
      </c>
      <c r="P70" s="119">
        <f>N70*P69</f>
        <v>6866.4420862099132</v>
      </c>
      <c r="Q70" s="1">
        <v>0.18</v>
      </c>
      <c r="R70" s="1" t="s">
        <v>270</v>
      </c>
      <c r="S70" s="120">
        <f>S69*Q69</f>
        <v>1458.4322991109855</v>
      </c>
      <c r="T70" s="113">
        <f>S69+S70</f>
        <v>9560.8339608386832</v>
      </c>
    </row>
    <row r="71" spans="1:20" x14ac:dyDescent="0.25">
      <c r="A71" s="167"/>
      <c r="B71" s="167"/>
    </row>
    <row r="72" spans="1:20" x14ac:dyDescent="0.25">
      <c r="A72" s="167"/>
      <c r="B72" s="167"/>
    </row>
    <row r="73" spans="1:20" x14ac:dyDescent="0.25">
      <c r="A73" s="167"/>
      <c r="B73" s="167"/>
    </row>
    <row r="74" spans="1:20" x14ac:dyDescent="0.25">
      <c r="A74" s="167"/>
      <c r="B74" s="167"/>
    </row>
    <row r="75" spans="1:20" x14ac:dyDescent="0.25">
      <c r="A75" s="167"/>
      <c r="B75" s="167"/>
    </row>
    <row r="76" spans="1:20" x14ac:dyDescent="0.25">
      <c r="A76" s="166"/>
      <c r="M76" s="29"/>
    </row>
    <row r="77" spans="1:20" x14ac:dyDescent="0.25">
      <c r="A77" s="166"/>
      <c r="M77" s="29"/>
    </row>
    <row r="78" spans="1:20" x14ac:dyDescent="0.25">
      <c r="A78" s="167"/>
      <c r="M78" s="29"/>
    </row>
    <row r="79" spans="1:20" x14ac:dyDescent="0.25">
      <c r="A79" s="66"/>
      <c r="B79" s="66"/>
    </row>
    <row r="80" spans="1:20" x14ac:dyDescent="0.25">
      <c r="A80" s="66"/>
      <c r="B80" s="66"/>
    </row>
    <row r="81" spans="1:20" x14ac:dyDescent="0.25">
      <c r="A81" s="66"/>
      <c r="B81" s="66"/>
    </row>
    <row r="82" spans="1:20" x14ac:dyDescent="0.25">
      <c r="A82" s="66"/>
      <c r="B82" s="66"/>
    </row>
    <row r="85" spans="1:20" x14ac:dyDescent="0.25">
      <c r="N85" s="29"/>
      <c r="T85" s="236"/>
    </row>
  </sheetData>
  <mergeCells count="45">
    <mergeCell ref="D3:F3"/>
    <mergeCell ref="D6:F6"/>
    <mergeCell ref="D7:F7"/>
    <mergeCell ref="P67:Q67"/>
    <mergeCell ref="F15:G15"/>
    <mergeCell ref="C12:K13"/>
    <mergeCell ref="D5:F5"/>
    <mergeCell ref="D4:F4"/>
    <mergeCell ref="J15:K15"/>
    <mergeCell ref="H15:I15"/>
    <mergeCell ref="D15:E15"/>
    <mergeCell ref="H14:K14"/>
    <mergeCell ref="D14:G14"/>
    <mergeCell ref="C14:C16"/>
    <mergeCell ref="A19:B35"/>
    <mergeCell ref="A39:B47"/>
    <mergeCell ref="O43:P43"/>
    <mergeCell ref="V44:W44"/>
    <mergeCell ref="A49:B60"/>
    <mergeCell ref="O50:P50"/>
    <mergeCell ref="V51:W51"/>
    <mergeCell ref="P56:Q56"/>
    <mergeCell ref="O35:P35"/>
    <mergeCell ref="O24:P24"/>
    <mergeCell ref="O23:P23"/>
    <mergeCell ref="O22:P22"/>
    <mergeCell ref="O21:P21"/>
    <mergeCell ref="O27:P27"/>
    <mergeCell ref="O20:P20"/>
    <mergeCell ref="C2:F2"/>
    <mergeCell ref="O40:P40"/>
    <mergeCell ref="O39:P39"/>
    <mergeCell ref="O38:P38"/>
    <mergeCell ref="D8:F8"/>
    <mergeCell ref="D9:F9"/>
    <mergeCell ref="O19:P19"/>
    <mergeCell ref="O26:P26"/>
    <mergeCell ref="O34:P34"/>
    <mergeCell ref="O31:P31"/>
    <mergeCell ref="O30:P30"/>
    <mergeCell ref="O29:P29"/>
    <mergeCell ref="O28:P28"/>
    <mergeCell ref="O37:P37"/>
    <mergeCell ref="O36:P36"/>
    <mergeCell ref="O32:P32"/>
  </mergeCell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39997558519241921"/>
  </sheetPr>
  <dimension ref="A1:AG85"/>
  <sheetViews>
    <sheetView topLeftCell="E25" zoomScale="77" zoomScaleNormal="77" workbookViewId="0">
      <selection activeCell="S46" sqref="S46"/>
    </sheetView>
  </sheetViews>
  <sheetFormatPr baseColWidth="10" defaultRowHeight="15" x14ac:dyDescent="0.25"/>
  <cols>
    <col min="3" max="3" width="33.85546875" customWidth="1"/>
    <col min="4" max="4" width="21.140625" customWidth="1"/>
    <col min="5" max="5" width="17.28515625" customWidth="1"/>
    <col min="6" max="6" width="23.42578125" customWidth="1"/>
    <col min="7" max="7" width="28.5703125" customWidth="1"/>
    <col min="8" max="8" width="19.42578125" customWidth="1"/>
    <col min="9" max="9" width="15.42578125" customWidth="1"/>
    <col min="10" max="10" width="23.7109375" customWidth="1"/>
    <col min="11" max="11" width="22.85546875" customWidth="1"/>
    <col min="14" max="14" width="18.7109375" customWidth="1"/>
    <col min="15" max="15" width="20.7109375" customWidth="1"/>
    <col min="16" max="16" width="28.5703125" customWidth="1"/>
    <col min="17" max="17" width="23.85546875" customWidth="1"/>
    <col min="18" max="18" width="23.140625" customWidth="1"/>
    <col min="19" max="19" width="17.85546875" customWidth="1"/>
    <col min="20" max="20" width="19.85546875" customWidth="1"/>
    <col min="21" max="21" width="16.5703125" customWidth="1"/>
    <col min="22" max="22" width="22" customWidth="1"/>
    <col min="23" max="23" width="15.7109375" customWidth="1"/>
    <col min="24" max="24" width="17.42578125" customWidth="1"/>
    <col min="25" max="25" width="15" customWidth="1"/>
    <col min="26" max="26" width="19.28515625" customWidth="1"/>
  </cols>
  <sheetData>
    <row r="1" spans="1:11" ht="15.75" thickBot="1" x14ac:dyDescent="0.3">
      <c r="A1" s="66"/>
      <c r="B1" s="66"/>
      <c r="C1" s="1"/>
    </row>
    <row r="2" spans="1:11" x14ac:dyDescent="0.25">
      <c r="A2" s="66"/>
      <c r="B2" s="66"/>
      <c r="C2" s="315" t="s">
        <v>214</v>
      </c>
      <c r="D2" s="316"/>
      <c r="E2" s="316"/>
      <c r="F2" s="317"/>
    </row>
    <row r="3" spans="1:11" x14ac:dyDescent="0.25">
      <c r="A3" s="66"/>
      <c r="B3" s="66"/>
      <c r="C3" s="1"/>
      <c r="D3" s="364"/>
      <c r="E3" s="364"/>
      <c r="F3" s="365"/>
    </row>
    <row r="4" spans="1:11" x14ac:dyDescent="0.25">
      <c r="A4" s="66"/>
      <c r="B4" s="66"/>
      <c r="C4" s="1"/>
      <c r="D4" s="364"/>
      <c r="E4" s="364"/>
      <c r="F4" s="365"/>
    </row>
    <row r="5" spans="1:11" x14ac:dyDescent="0.25">
      <c r="A5" s="66"/>
      <c r="B5" s="66"/>
      <c r="C5" s="1"/>
      <c r="D5" s="366"/>
      <c r="E5" s="367"/>
      <c r="F5" s="368"/>
    </row>
    <row r="6" spans="1:11" x14ac:dyDescent="0.25">
      <c r="A6" s="66"/>
      <c r="B6" s="66"/>
      <c r="C6" s="1"/>
      <c r="D6" s="369"/>
      <c r="E6" s="370"/>
      <c r="F6" s="371"/>
    </row>
    <row r="7" spans="1:11" x14ac:dyDescent="0.25">
      <c r="A7" s="66"/>
      <c r="B7" s="66"/>
      <c r="C7" s="1"/>
      <c r="D7" s="361"/>
      <c r="E7" s="362"/>
      <c r="F7" s="363"/>
    </row>
    <row r="8" spans="1:11" x14ac:dyDescent="0.25">
      <c r="A8" s="66"/>
      <c r="B8" s="66"/>
      <c r="C8" s="1" t="s">
        <v>256</v>
      </c>
      <c r="D8" s="359">
        <f>'LINEA DE TIEMPO MARITIMA'!AK65</f>
        <v>4154.0600000000004</v>
      </c>
      <c r="E8" s="359"/>
      <c r="F8" s="360"/>
    </row>
    <row r="9" spans="1:11" ht="15.75" thickBot="1" x14ac:dyDescent="0.3">
      <c r="A9" s="66"/>
      <c r="B9" s="66"/>
      <c r="C9" s="1" t="s">
        <v>257</v>
      </c>
      <c r="D9" s="320">
        <f>'LINEA DE TIEMPO AEREA'!Y86</f>
        <v>4168.88</v>
      </c>
      <c r="E9" s="320"/>
      <c r="F9" s="321"/>
    </row>
    <row r="10" spans="1:11" x14ac:dyDescent="0.25">
      <c r="A10" s="66"/>
      <c r="B10" s="66"/>
      <c r="C10" s="29"/>
    </row>
    <row r="11" spans="1:11" x14ac:dyDescent="0.25">
      <c r="A11" s="66"/>
      <c r="B11" s="66"/>
      <c r="C11" s="29"/>
    </row>
    <row r="12" spans="1:11" x14ac:dyDescent="0.25">
      <c r="A12" s="66"/>
      <c r="B12" s="66"/>
      <c r="C12" s="358" t="s">
        <v>215</v>
      </c>
      <c r="D12" s="358"/>
      <c r="E12" s="358"/>
      <c r="F12" s="358"/>
      <c r="G12" s="358"/>
      <c r="H12" s="358"/>
      <c r="I12" s="358"/>
      <c r="J12" s="358"/>
      <c r="K12" s="358"/>
    </row>
    <row r="13" spans="1:11" x14ac:dyDescent="0.25">
      <c r="A13" s="66"/>
      <c r="B13" s="66"/>
      <c r="C13" s="358"/>
      <c r="D13" s="358"/>
      <c r="E13" s="358"/>
      <c r="F13" s="358"/>
      <c r="G13" s="358"/>
      <c r="H13" s="358"/>
      <c r="I13" s="358"/>
      <c r="J13" s="358"/>
      <c r="K13" s="358"/>
    </row>
    <row r="14" spans="1:11" ht="15.75" thickBot="1" x14ac:dyDescent="0.3">
      <c r="A14" s="66"/>
      <c r="B14" s="66"/>
      <c r="C14" s="357" t="s">
        <v>0</v>
      </c>
      <c r="D14" s="352" t="s">
        <v>1</v>
      </c>
      <c r="E14" s="353"/>
      <c r="F14" s="353"/>
      <c r="G14" s="353"/>
      <c r="H14" s="352" t="s">
        <v>5</v>
      </c>
      <c r="I14" s="353"/>
      <c r="J14" s="353"/>
      <c r="K14" s="353"/>
    </row>
    <row r="15" spans="1:11" x14ac:dyDescent="0.25">
      <c r="A15" s="66"/>
      <c r="B15" s="66"/>
      <c r="C15" s="358"/>
      <c r="D15" s="350" t="s">
        <v>216</v>
      </c>
      <c r="E15" s="351"/>
      <c r="F15" s="341" t="s">
        <v>217</v>
      </c>
      <c r="G15" s="342"/>
      <c r="H15" s="341" t="s">
        <v>216</v>
      </c>
      <c r="I15" s="342"/>
      <c r="J15" s="349" t="s">
        <v>2</v>
      </c>
      <c r="K15" s="342"/>
    </row>
    <row r="16" spans="1:11" ht="15.75" thickBot="1" x14ac:dyDescent="0.3">
      <c r="A16" s="66"/>
      <c r="B16" s="66"/>
      <c r="C16" s="358"/>
      <c r="D16" s="67" t="s">
        <v>3</v>
      </c>
      <c r="E16" s="68" t="s">
        <v>4</v>
      </c>
      <c r="F16" s="69" t="s">
        <v>3</v>
      </c>
      <c r="G16" s="68" t="s">
        <v>4</v>
      </c>
      <c r="H16" s="69" t="s">
        <v>3</v>
      </c>
      <c r="I16" s="139" t="s">
        <v>4</v>
      </c>
      <c r="J16" s="67" t="s">
        <v>3</v>
      </c>
      <c r="K16" s="68" t="s">
        <v>4</v>
      </c>
    </row>
    <row r="17" spans="1:33" ht="15.75" thickBot="1" x14ac:dyDescent="0.3">
      <c r="A17" s="66"/>
      <c r="B17" s="66"/>
      <c r="C17" s="155" t="s">
        <v>6</v>
      </c>
      <c r="D17" s="70">
        <f>E17*D8</f>
        <v>814195.76000000013</v>
      </c>
      <c r="E17" s="174">
        <f>3.5*56</f>
        <v>196</v>
      </c>
      <c r="F17" s="71">
        <f>G17*D8</f>
        <v>4924255956.4800005</v>
      </c>
      <c r="G17" s="174">
        <f>'DECISIÓN FINAL DE CUBICAJE'!G52*E17</f>
        <v>1185408</v>
      </c>
      <c r="H17" s="72">
        <f>I17*D9</f>
        <v>817100.48</v>
      </c>
      <c r="I17" s="175">
        <f>E17</f>
        <v>196</v>
      </c>
      <c r="J17" s="71">
        <f>K17*D9</f>
        <v>4941823703.04</v>
      </c>
      <c r="K17" s="174">
        <f>3.5*56*'DECISIÓN FINAL DE CUBICAJE'!G52</f>
        <v>1185408</v>
      </c>
    </row>
    <row r="18" spans="1:33" ht="15.75" customHeight="1" thickBot="1" x14ac:dyDescent="0.3">
      <c r="A18" s="66"/>
      <c r="B18" s="66"/>
      <c r="C18" s="29"/>
      <c r="D18" s="73"/>
      <c r="E18" s="74"/>
      <c r="F18" s="74"/>
      <c r="G18" s="74"/>
      <c r="H18" s="74"/>
      <c r="J18" s="74"/>
      <c r="K18" s="74"/>
    </row>
    <row r="19" spans="1:33" ht="15.75" customHeight="1" thickBot="1" x14ac:dyDescent="0.3">
      <c r="A19" s="324" t="s">
        <v>218</v>
      </c>
      <c r="B19" s="325"/>
      <c r="C19" s="1" t="s">
        <v>219</v>
      </c>
      <c r="D19" s="82">
        <f>E19*D8</f>
        <v>1453.921</v>
      </c>
      <c r="E19" s="176">
        <f>0.35</f>
        <v>0.35</v>
      </c>
      <c r="F19" s="84">
        <f>G19*D8</f>
        <v>492425595.648</v>
      </c>
      <c r="G19" s="176">
        <f>E19*56*'DECISIÓN FINAL DE CUBICAJE'!G52</f>
        <v>118540.79999999999</v>
      </c>
      <c r="H19" s="85">
        <f>I19*D9</f>
        <v>1459.1079999999999</v>
      </c>
      <c r="I19" s="176">
        <f>0.35</f>
        <v>0.35</v>
      </c>
      <c r="J19" s="84">
        <f>D9*K19</f>
        <v>494182370.30399996</v>
      </c>
      <c r="K19" s="212">
        <f>0.35*56*'DECISIÓN FINAL DE CUBICAJE'!G52</f>
        <v>118540.79999999999</v>
      </c>
      <c r="O19" s="322" t="s">
        <v>255</v>
      </c>
      <c r="P19" s="323"/>
      <c r="Q19" s="151" t="s">
        <v>4</v>
      </c>
      <c r="AG19" t="s">
        <v>307</v>
      </c>
    </row>
    <row r="20" spans="1:33" ht="15.75" customHeight="1" thickBot="1" x14ac:dyDescent="0.3">
      <c r="A20" s="326"/>
      <c r="B20" s="327"/>
      <c r="C20" s="1" t="s">
        <v>220</v>
      </c>
      <c r="D20" s="82">
        <f>E20*D8</f>
        <v>11423.665000000001</v>
      </c>
      <c r="E20" s="177">
        <v>2.75</v>
      </c>
      <c r="F20" s="84">
        <f>G20*D8</f>
        <v>69090325.920000002</v>
      </c>
      <c r="G20" s="177">
        <f>E20*'DECISIÓN FINAL DE CUBICAJE'!G52</f>
        <v>16632</v>
      </c>
      <c r="H20" s="85">
        <f>I20*D9</f>
        <v>11464.42</v>
      </c>
      <c r="I20" s="177">
        <v>2.75</v>
      </c>
      <c r="J20" s="84">
        <f>D9*K20</f>
        <v>69336812.159999996</v>
      </c>
      <c r="K20" s="213">
        <f>2.75*'DECISIÓN FINAL DE CUBICAJE'!G52</f>
        <v>16632</v>
      </c>
      <c r="O20" s="283" t="s">
        <v>6</v>
      </c>
      <c r="P20" s="283"/>
      <c r="Q20" s="233">
        <f>G17</f>
        <v>1185408</v>
      </c>
    </row>
    <row r="21" spans="1:33" ht="15.75" thickBot="1" x14ac:dyDescent="0.3">
      <c r="A21" s="326"/>
      <c r="B21" s="327"/>
      <c r="C21" s="76" t="s">
        <v>221</v>
      </c>
      <c r="D21" s="82">
        <f>E21*D8</f>
        <v>332.32480000000004</v>
      </c>
      <c r="E21" s="177">
        <v>0.08</v>
      </c>
      <c r="F21" s="84">
        <f>G21*D8</f>
        <v>2009900.3904000004</v>
      </c>
      <c r="G21" s="177">
        <f>E21*'DECISIÓN FINAL DE CUBICAJE'!G52</f>
        <v>483.84000000000003</v>
      </c>
      <c r="H21" s="105">
        <f>I21*D9</f>
        <v>333.5104</v>
      </c>
      <c r="I21" s="205">
        <v>0.08</v>
      </c>
      <c r="J21" s="104">
        <f>D9*K21</f>
        <v>2017070.8992000001</v>
      </c>
      <c r="K21" s="214">
        <f>0.08*'DECISIÓN FINAL DE CUBICAJE'!G52</f>
        <v>483.84000000000003</v>
      </c>
      <c r="O21" s="283" t="s">
        <v>226</v>
      </c>
      <c r="P21" s="283"/>
      <c r="Q21" s="233">
        <f>Q20*0.7%</f>
        <v>8297.8559999999998</v>
      </c>
    </row>
    <row r="22" spans="1:33" ht="15.75" thickBot="1" x14ac:dyDescent="0.3">
      <c r="A22" s="326"/>
      <c r="B22" s="327"/>
      <c r="C22" s="1" t="s">
        <v>222</v>
      </c>
      <c r="D22" s="163">
        <f>E22*D8</f>
        <v>37.776669973544976</v>
      </c>
      <c r="E22" s="178">
        <f>55/'DECISIÓN FINAL DE CUBICAJE'!G52</f>
        <v>9.0939153439153434E-3</v>
      </c>
      <c r="F22" s="164">
        <f>G22*D8</f>
        <v>1381806518.4000001</v>
      </c>
      <c r="G22" s="199">
        <f>55*'DECISIÓN FINAL DE CUBICAJE'!G52</f>
        <v>332640</v>
      </c>
      <c r="H22" s="90"/>
      <c r="I22" s="189"/>
      <c r="J22" s="90"/>
      <c r="K22" s="215"/>
      <c r="O22" s="283" t="s">
        <v>227</v>
      </c>
      <c r="P22" s="283"/>
      <c r="Q22" s="233">
        <f>14000/D8</f>
        <v>3.3701968676427394</v>
      </c>
    </row>
    <row r="23" spans="1:33" ht="15.75" thickBot="1" x14ac:dyDescent="0.3">
      <c r="A23" s="326"/>
      <c r="B23" s="327"/>
      <c r="C23" s="43" t="s">
        <v>223</v>
      </c>
      <c r="D23" s="161">
        <f>F23/'DECISIÓN FINAL DE CUBICAJE'!G52</f>
        <v>15.707671957671957</v>
      </c>
      <c r="E23" s="197">
        <f>D23/D8</f>
        <v>3.7812819164075519E-3</v>
      </c>
      <c r="F23" s="154">
        <f>5700000/120*2</f>
        <v>95000</v>
      </c>
      <c r="G23" s="179">
        <f>F23/D8</f>
        <v>22.869193030432875</v>
      </c>
      <c r="H23" s="154">
        <f>J23/'DECISIÓN FINAL DE CUBICAJE'!G52</f>
        <v>15.707671957671957</v>
      </c>
      <c r="I23" s="197">
        <f>H23/D9</f>
        <v>3.7678397933430456E-3</v>
      </c>
      <c r="J23" s="154">
        <f>5700000/120*2</f>
        <v>95000</v>
      </c>
      <c r="K23" s="216">
        <f>J23/D9</f>
        <v>22.787895070138742</v>
      </c>
      <c r="O23" s="283" t="s">
        <v>245</v>
      </c>
      <c r="P23" s="283"/>
      <c r="Q23" s="233">
        <f>220000/D8</f>
        <v>52.960236491528761</v>
      </c>
    </row>
    <row r="24" spans="1:33" ht="15.75" thickBot="1" x14ac:dyDescent="0.3">
      <c r="A24" s="326"/>
      <c r="B24" s="327"/>
      <c r="C24" s="1" t="s">
        <v>224</v>
      </c>
      <c r="D24" s="154">
        <f>E24*D8</f>
        <v>171.71213624338625</v>
      </c>
      <c r="E24" s="180">
        <f>250/'DECISIÓN FINAL DE CUBICAJE'!G52</f>
        <v>4.1335978835978837E-2</v>
      </c>
      <c r="F24" s="154">
        <f>G24*D8</f>
        <v>1038515.0000000001</v>
      </c>
      <c r="G24" s="180">
        <f>250</f>
        <v>250</v>
      </c>
      <c r="H24" s="83">
        <f>I24*D9</f>
        <v>172.32473544973547</v>
      </c>
      <c r="I24" s="177">
        <f>250/'DECISIÓN FINAL DE CUBICAJE'!G52</f>
        <v>4.1335978835978837E-2</v>
      </c>
      <c r="J24" s="89">
        <f>K24*D9</f>
        <v>1042220</v>
      </c>
      <c r="K24" s="213">
        <v>250</v>
      </c>
      <c r="L24" s="80"/>
      <c r="M24" s="80"/>
      <c r="N24" s="80"/>
      <c r="O24" s="332" t="s">
        <v>246</v>
      </c>
      <c r="P24" s="333"/>
      <c r="Q24" s="234">
        <f>SUM(Q21:Q23)</f>
        <v>8354.1864333591711</v>
      </c>
      <c r="R24" s="80"/>
    </row>
    <row r="25" spans="1:33" ht="15.75" thickBot="1" x14ac:dyDescent="0.3">
      <c r="A25" s="326"/>
      <c r="B25" s="327"/>
      <c r="C25" s="1" t="s">
        <v>225</v>
      </c>
      <c r="D25" s="154">
        <f>9750000/'DECISIÓN FINAL DE CUBICAJE'!G52</f>
        <v>1612.1031746031747</v>
      </c>
      <c r="E25" s="180">
        <f>D25/D8</f>
        <v>0.38807893352603828</v>
      </c>
      <c r="F25" s="154">
        <v>9750000</v>
      </c>
      <c r="G25" s="180">
        <f>F25/D8</f>
        <v>2347.1013899654795</v>
      </c>
      <c r="H25" s="83"/>
      <c r="I25" s="176"/>
      <c r="J25" s="83"/>
      <c r="K25" s="212"/>
      <c r="O25" s="80"/>
      <c r="P25" s="80"/>
      <c r="Q25" s="80"/>
    </row>
    <row r="26" spans="1:33" x14ac:dyDescent="0.25">
      <c r="A26" s="326"/>
      <c r="B26" s="327"/>
      <c r="C26" s="1" t="s">
        <v>226</v>
      </c>
      <c r="D26" s="154">
        <f>F26/'DECISIÓN FINAL DE CUBICAJE'!G52</f>
        <v>5738.060796190477</v>
      </c>
      <c r="E26" s="235">
        <v>7.0000000000000001E-3</v>
      </c>
      <c r="F26" s="154">
        <f>G26*D8</f>
        <v>34703791.695360005</v>
      </c>
      <c r="G26" s="180">
        <f>Q24</f>
        <v>8354.1864333591711</v>
      </c>
      <c r="H26" s="83"/>
      <c r="I26" s="176"/>
      <c r="J26" s="83"/>
      <c r="K26" s="212"/>
      <c r="O26" s="256" t="s">
        <v>247</v>
      </c>
      <c r="P26" s="258"/>
      <c r="Q26" s="147" t="s">
        <v>4</v>
      </c>
    </row>
    <row r="27" spans="1:33" x14ac:dyDescent="0.25">
      <c r="A27" s="326"/>
      <c r="B27" s="327"/>
      <c r="C27" s="43" t="s">
        <v>303</v>
      </c>
      <c r="D27" s="81">
        <f>186000/'DECISIÓN FINAL DE CUBICAJE'!G52</f>
        <v>30.753968253968253</v>
      </c>
      <c r="E27" s="181">
        <f>D27/D8</f>
        <v>7.4033519626505754E-3</v>
      </c>
      <c r="F27" s="81">
        <f>186000*7</f>
        <v>1302000</v>
      </c>
      <c r="G27" s="184">
        <f>F27/D8</f>
        <v>313.42830869077477</v>
      </c>
      <c r="H27" s="90"/>
      <c r="I27" s="189"/>
      <c r="J27" s="90"/>
      <c r="K27" s="217"/>
      <c r="O27" s="283" t="s">
        <v>249</v>
      </c>
      <c r="P27" s="283"/>
      <c r="Q27" s="233">
        <v>118</v>
      </c>
    </row>
    <row r="28" spans="1:33" x14ac:dyDescent="0.25">
      <c r="A28" s="326"/>
      <c r="B28" s="327"/>
      <c r="C28" s="1" t="s">
        <v>228</v>
      </c>
      <c r="D28" s="91">
        <f>F28/'DECISIÓN FINAL DE CUBICAJE'!G52</f>
        <v>419.23795304232812</v>
      </c>
      <c r="E28" s="182">
        <f>D28/D8</f>
        <v>0.10092245972430058</v>
      </c>
      <c r="F28" s="91">
        <f>G28*D8</f>
        <v>2535551.1400000006</v>
      </c>
      <c r="G28" s="182">
        <f>Q32</f>
        <v>610.37903641256992</v>
      </c>
      <c r="H28" s="91"/>
      <c r="I28" s="182"/>
      <c r="J28" s="91"/>
      <c r="K28" s="218"/>
      <c r="O28" s="293" t="s">
        <v>250</v>
      </c>
      <c r="P28" s="293"/>
      <c r="Q28" s="248">
        <f>535000/D8</f>
        <v>128.7896660134904</v>
      </c>
    </row>
    <row r="29" spans="1:33" x14ac:dyDescent="0.25">
      <c r="A29" s="326"/>
      <c r="B29" s="327"/>
      <c r="C29" s="78" t="s">
        <v>229</v>
      </c>
      <c r="D29" s="165">
        <f>E29*D8</f>
        <v>178.58062169312171</v>
      </c>
      <c r="E29" s="183">
        <f>260/'DECISIÓN FINAL DE CUBICAJE'!G52</f>
        <v>4.2989417989417987E-2</v>
      </c>
      <c r="F29" s="91">
        <f>G29*D8</f>
        <v>1080055.6000000001</v>
      </c>
      <c r="G29" s="178">
        <f>260</f>
        <v>260</v>
      </c>
      <c r="H29" s="92"/>
      <c r="I29" s="206"/>
      <c r="J29" s="91"/>
      <c r="K29" s="219"/>
      <c r="O29" s="293" t="s">
        <v>251</v>
      </c>
      <c r="P29" s="293"/>
      <c r="Q29" s="234"/>
    </row>
    <row r="30" spans="1:33" x14ac:dyDescent="0.25">
      <c r="A30" s="326"/>
      <c r="B30" s="327"/>
      <c r="C30" s="76" t="s">
        <v>230</v>
      </c>
      <c r="D30" s="165">
        <f>E30*D8</f>
        <v>4567.5428240740739</v>
      </c>
      <c r="E30" s="180">
        <f>950/'DECISIÓN FINAL DE CUBICAJE'!O28</f>
        <v>1.099537037037037</v>
      </c>
      <c r="F30" s="91">
        <f>G30*D8</f>
        <v>27624499.000000004</v>
      </c>
      <c r="G30" s="183">
        <f>950*7</f>
        <v>6650</v>
      </c>
      <c r="H30" s="86"/>
      <c r="I30" s="177"/>
      <c r="J30" s="91"/>
      <c r="K30" s="219"/>
      <c r="O30" s="293" t="s">
        <v>252</v>
      </c>
      <c r="P30" s="293"/>
      <c r="Q30" s="234">
        <f>21.5*2*7</f>
        <v>301</v>
      </c>
    </row>
    <row r="31" spans="1:33" x14ac:dyDescent="0.25">
      <c r="A31" s="326"/>
      <c r="B31" s="327"/>
      <c r="C31" s="1" t="s">
        <v>231</v>
      </c>
      <c r="D31" s="43"/>
      <c r="E31" s="184"/>
      <c r="F31" s="91"/>
      <c r="G31" s="200"/>
      <c r="H31" s="92">
        <f>I31*D9</f>
        <v>1688.7824074074076</v>
      </c>
      <c r="I31" s="205">
        <f>K31/'DECISIÓN FINAL DE CUBICAJE'!G52</f>
        <v>0.40509259259259262</v>
      </c>
      <c r="J31" s="91">
        <f>K31*D9</f>
        <v>10213756</v>
      </c>
      <c r="K31" s="214">
        <f>350*7</f>
        <v>2450</v>
      </c>
      <c r="O31" s="293" t="s">
        <v>253</v>
      </c>
      <c r="P31" s="293"/>
      <c r="Q31" s="234">
        <f>260000/D8</f>
        <v>62.589370399079449</v>
      </c>
    </row>
    <row r="32" spans="1:33" x14ac:dyDescent="0.25">
      <c r="A32" s="326"/>
      <c r="B32" s="327"/>
      <c r="C32" s="1" t="s">
        <v>232</v>
      </c>
      <c r="D32" s="165">
        <f>E32*D8</f>
        <v>151.1066798941799</v>
      </c>
      <c r="E32" s="178">
        <f>220/'DECISIÓN FINAL DE CUBICAJE'!G52</f>
        <v>3.6375661375661374E-2</v>
      </c>
      <c r="F32" s="91">
        <f>G32*D8</f>
        <v>913893.20000000007</v>
      </c>
      <c r="G32" s="178">
        <f>220</f>
        <v>220</v>
      </c>
      <c r="H32" s="90">
        <f>I32*D9</f>
        <v>151.64576719576718</v>
      </c>
      <c r="I32" s="189">
        <f>220/'DECISIÓN FINAL DE CUBICAJE'!G52</f>
        <v>3.6375661375661374E-2</v>
      </c>
      <c r="J32" s="91">
        <f>K32*D9</f>
        <v>917153.6</v>
      </c>
      <c r="K32" s="215">
        <v>220</v>
      </c>
      <c r="O32" s="293" t="s">
        <v>248</v>
      </c>
      <c r="P32" s="293"/>
      <c r="Q32" s="234">
        <f>SUM(Q27:Q31)</f>
        <v>610.37903641256992</v>
      </c>
    </row>
    <row r="33" spans="1:24" x14ac:dyDescent="0.25">
      <c r="A33" s="326"/>
      <c r="B33" s="327"/>
      <c r="C33" s="152"/>
      <c r="D33" s="93"/>
      <c r="E33" s="185"/>
      <c r="F33" s="93"/>
      <c r="G33" s="185"/>
      <c r="H33" s="93"/>
      <c r="I33" s="185"/>
      <c r="J33" s="93"/>
      <c r="K33" s="220"/>
      <c r="O33" s="80"/>
      <c r="P33" s="80"/>
      <c r="Q33" s="80"/>
    </row>
    <row r="34" spans="1:24" x14ac:dyDescent="0.25">
      <c r="A34" s="326"/>
      <c r="B34" s="327"/>
      <c r="C34" s="79" t="s">
        <v>7</v>
      </c>
      <c r="D34" s="156">
        <f>SUM(D19:D26,D28,D29,D30,D32,D17)</f>
        <v>840297.49932767206</v>
      </c>
      <c r="E34" s="178">
        <f>SUM(E19:E26,E28,E29,E30,E32,E17)</f>
        <v>200.90911468574876</v>
      </c>
      <c r="F34" s="156">
        <f>SUM(F19:F26,F28,F29,F30,F32,F17)</f>
        <v>6947329602.4737606</v>
      </c>
      <c r="G34" s="178">
        <f>SUM(G19:G26,G28,G29,G30,G32,G17)</f>
        <v>1672419.1760527678</v>
      </c>
      <c r="H34" s="94"/>
      <c r="I34" s="187"/>
      <c r="J34" s="95"/>
      <c r="K34" s="221"/>
      <c r="O34" s="256" t="s">
        <v>254</v>
      </c>
      <c r="P34" s="258"/>
      <c r="Q34" s="147" t="s">
        <v>4</v>
      </c>
    </row>
    <row r="35" spans="1:24" ht="15.75" thickBot="1" x14ac:dyDescent="0.3">
      <c r="A35" s="328"/>
      <c r="B35" s="329"/>
      <c r="C35" s="79" t="s">
        <v>8</v>
      </c>
      <c r="D35" s="172"/>
      <c r="E35" s="186"/>
      <c r="F35" s="172"/>
      <c r="G35" s="186"/>
      <c r="H35" s="96">
        <f>SUM(H19:H32)</f>
        <v>15285.498982010582</v>
      </c>
      <c r="I35" s="207">
        <f>SUM(I19:I32)</f>
        <v>3.6665720725975763</v>
      </c>
      <c r="J35" s="96">
        <f>SUM(J19:J32)</f>
        <v>577804382.96319997</v>
      </c>
      <c r="K35" s="221">
        <f>SUM(K19:K32)</f>
        <v>138599.42789507011</v>
      </c>
      <c r="O35" s="283" t="s">
        <v>249</v>
      </c>
      <c r="P35" s="283"/>
      <c r="Q35" s="233">
        <f>Q27</f>
        <v>118</v>
      </c>
    </row>
    <row r="36" spans="1:24" x14ac:dyDescent="0.25">
      <c r="A36" s="146"/>
      <c r="B36" s="75"/>
      <c r="C36" s="79" t="s">
        <v>9</v>
      </c>
      <c r="D36" s="94">
        <f>SUM(D17,D19:D32)</f>
        <v>840328.25329592603</v>
      </c>
      <c r="E36" s="187">
        <f>SUM(E17,E19:E32)</f>
        <v>200.91651803771143</v>
      </c>
      <c r="F36" s="94">
        <f>SUM(F17,F19:F32)</f>
        <v>6948631602.4737606</v>
      </c>
      <c r="G36" s="187">
        <f>SUM(G17,G19:G32)</f>
        <v>1672732.6043614587</v>
      </c>
      <c r="H36" s="94"/>
      <c r="I36" s="187"/>
      <c r="J36" s="95"/>
      <c r="K36" s="221"/>
      <c r="O36" s="293" t="s">
        <v>250</v>
      </c>
      <c r="P36" s="293"/>
      <c r="Q36" s="234">
        <f>Q28</f>
        <v>128.7896660134904</v>
      </c>
    </row>
    <row r="37" spans="1:24" x14ac:dyDescent="0.25">
      <c r="A37" s="75"/>
      <c r="B37" s="75"/>
      <c r="C37" s="29"/>
      <c r="D37" s="93"/>
      <c r="E37" s="188"/>
      <c r="F37" s="93"/>
      <c r="G37" s="185"/>
      <c r="H37" s="93"/>
      <c r="I37" s="185"/>
      <c r="J37" s="93"/>
      <c r="K37" s="215"/>
      <c r="L37" s="29"/>
      <c r="O37" s="293" t="s">
        <v>304</v>
      </c>
      <c r="P37" s="293"/>
      <c r="Q37" s="234">
        <f>D27</f>
        <v>30.753968253968253</v>
      </c>
    </row>
    <row r="38" spans="1:24" x14ac:dyDescent="0.25">
      <c r="A38" s="75"/>
      <c r="C38" s="169" t="s">
        <v>234</v>
      </c>
      <c r="D38" s="90">
        <f>E38*D8</f>
        <v>21837.662638888891</v>
      </c>
      <c r="E38" s="189">
        <f>G38/'DECISIÓN FINAL DE CUBICAJE'!G52</f>
        <v>5.2569444444444446</v>
      </c>
      <c r="F38" s="90">
        <f>G38*D8</f>
        <v>132074183.64000002</v>
      </c>
      <c r="G38" s="189">
        <f>R51</f>
        <v>31794</v>
      </c>
      <c r="H38" s="90"/>
      <c r="I38" s="189"/>
      <c r="J38" s="97"/>
      <c r="K38" s="215"/>
      <c r="L38" s="29"/>
      <c r="M38" s="153"/>
      <c r="O38" s="293" t="s">
        <v>252</v>
      </c>
      <c r="P38" s="293"/>
      <c r="Q38" s="234">
        <f>Q30</f>
        <v>301</v>
      </c>
    </row>
    <row r="39" spans="1:24" ht="15.75" customHeight="1" x14ac:dyDescent="0.25">
      <c r="A39" s="330" t="s">
        <v>233</v>
      </c>
      <c r="B39" s="330"/>
      <c r="C39" s="169" t="s">
        <v>235</v>
      </c>
      <c r="D39" s="98"/>
      <c r="E39" s="189"/>
      <c r="F39" s="98"/>
      <c r="G39" s="188"/>
      <c r="H39" s="90">
        <f>I39*D9</f>
        <v>11672.864000000001</v>
      </c>
      <c r="I39" s="208">
        <f>K39/'DECISIÓN FINAL DE CUBICAJE'!G52</f>
        <v>2.8000000000000003</v>
      </c>
      <c r="J39" s="90">
        <f>K39*D9</f>
        <v>70597481.472000003</v>
      </c>
      <c r="K39" s="222">
        <f>0.2*14*'DECISIÓN FINAL DE CUBICAJE'!G52</f>
        <v>16934.400000000001</v>
      </c>
      <c r="L39" s="29"/>
      <c r="M39" s="159"/>
      <c r="O39" s="293" t="s">
        <v>253</v>
      </c>
      <c r="P39" s="293"/>
      <c r="Q39" s="234">
        <f>260000/D8</f>
        <v>62.589370399079449</v>
      </c>
    </row>
    <row r="40" spans="1:24" x14ac:dyDescent="0.25">
      <c r="A40" s="330"/>
      <c r="B40" s="330"/>
      <c r="C40" s="169" t="s">
        <v>272</v>
      </c>
      <c r="D40" s="141">
        <f>E40*D8</f>
        <v>16117.347275490427</v>
      </c>
      <c r="E40" s="182">
        <f>G40/'DECISIÓN FINAL DE CUBICAJE'!G52</f>
        <v>3.879902378754863</v>
      </c>
      <c r="F40" s="141">
        <f>G40*D8</f>
        <v>97477716.322166115</v>
      </c>
      <c r="G40" s="182">
        <f>Z54</f>
        <v>23465.649586709413</v>
      </c>
      <c r="H40" s="91"/>
      <c r="I40" s="182"/>
      <c r="J40" s="91"/>
      <c r="K40" s="218"/>
      <c r="L40" s="29"/>
      <c r="O40" s="293" t="s">
        <v>248</v>
      </c>
      <c r="P40" s="293"/>
      <c r="Q40" s="234">
        <f>SUM(Q35:Q39)*23%</f>
        <v>147.46059107330376</v>
      </c>
    </row>
    <row r="41" spans="1:24" ht="15" customHeight="1" x14ac:dyDescent="0.25">
      <c r="A41" s="330"/>
      <c r="B41" s="330"/>
      <c r="C41" s="169" t="s">
        <v>273</v>
      </c>
      <c r="D41" s="92"/>
      <c r="E41" s="233"/>
      <c r="F41" s="91"/>
      <c r="G41" s="233"/>
      <c r="H41" s="92">
        <f>I41*D9</f>
        <v>9214.7057698858935</v>
      </c>
      <c r="I41" s="206">
        <f>K41/'DECISIÓN FINAL DE CUBICAJE'!G52</f>
        <v>2.210355244066966</v>
      </c>
      <c r="J41" s="99">
        <f>K41*D9</f>
        <v>55730540.496269889</v>
      </c>
      <c r="K41" s="219">
        <f>T70</f>
        <v>13368.228516117011</v>
      </c>
      <c r="L41" s="29"/>
    </row>
    <row r="42" spans="1:24" ht="15" customHeight="1" thickBot="1" x14ac:dyDescent="0.3">
      <c r="A42" s="330"/>
      <c r="B42" s="330"/>
      <c r="C42" s="29"/>
      <c r="D42" s="87"/>
      <c r="E42" s="190"/>
      <c r="F42" s="87"/>
      <c r="G42" s="190"/>
      <c r="H42" s="87"/>
      <c r="I42" s="190"/>
      <c r="J42" s="87"/>
      <c r="K42" s="223"/>
      <c r="L42" s="29"/>
    </row>
    <row r="43" spans="1:24" ht="15" customHeight="1" thickBot="1" x14ac:dyDescent="0.3">
      <c r="A43" s="330"/>
      <c r="B43" s="330"/>
      <c r="C43" s="170" t="s">
        <v>10</v>
      </c>
      <c r="D43" s="100">
        <f>D36+D38</f>
        <v>862165.91593481496</v>
      </c>
      <c r="E43" s="191">
        <f>E36+E38</f>
        <v>206.17346248215588</v>
      </c>
      <c r="F43" s="101">
        <f>F36+F38</f>
        <v>7080705786.1137609</v>
      </c>
      <c r="G43" s="191">
        <f>G36+G38</f>
        <v>1704526.6043614587</v>
      </c>
      <c r="H43" s="101"/>
      <c r="I43" s="191"/>
      <c r="J43" s="101"/>
      <c r="K43" s="224"/>
      <c r="O43" s="256" t="s">
        <v>309</v>
      </c>
      <c r="P43" s="258"/>
    </row>
    <row r="44" spans="1:24" ht="15.75" thickBot="1" x14ac:dyDescent="0.3">
      <c r="A44" s="330"/>
      <c r="B44" s="330"/>
      <c r="C44" s="170" t="s">
        <v>11</v>
      </c>
      <c r="D44" s="100">
        <f>D43+D40</f>
        <v>878283.26321030536</v>
      </c>
      <c r="E44" s="191">
        <f>E43+E40</f>
        <v>210.05336486091073</v>
      </c>
      <c r="F44" s="101">
        <f>F43+F40</f>
        <v>7178183502.4359274</v>
      </c>
      <c r="G44" s="191">
        <f>G43+G40</f>
        <v>1727992.2539481681</v>
      </c>
      <c r="H44" s="101"/>
      <c r="I44" s="191"/>
      <c r="J44" s="101"/>
      <c r="K44" s="224"/>
      <c r="O44" s="1" t="s">
        <v>258</v>
      </c>
      <c r="P44" s="113">
        <v>4350</v>
      </c>
      <c r="Q44" s="29"/>
      <c r="R44" s="160"/>
      <c r="V44" s="283" t="s">
        <v>315</v>
      </c>
      <c r="W44" s="283"/>
    </row>
    <row r="45" spans="1:24" ht="15.75" thickBot="1" x14ac:dyDescent="0.3">
      <c r="A45" s="330"/>
      <c r="B45" s="330"/>
      <c r="C45" s="170" t="s">
        <v>12</v>
      </c>
      <c r="D45" s="100"/>
      <c r="E45" s="191"/>
      <c r="F45" s="101"/>
      <c r="G45" s="191"/>
      <c r="H45" s="102">
        <f>H35+H39</f>
        <v>26958.362982010585</v>
      </c>
      <c r="I45" s="102">
        <f t="shared" ref="I45:J45" si="0">I35+I39</f>
        <v>6.466572072597577</v>
      </c>
      <c r="J45" s="102">
        <f t="shared" si="0"/>
        <v>648401864.43519998</v>
      </c>
      <c r="K45" s="225">
        <f>K35+K39</f>
        <v>155533.82789507011</v>
      </c>
      <c r="O45" s="1" t="s">
        <v>259</v>
      </c>
      <c r="P45" s="114">
        <v>4.0000000000000001E-3</v>
      </c>
      <c r="Q45" s="77">
        <f>P44*P45</f>
        <v>17.400000000000002</v>
      </c>
      <c r="R45" s="160"/>
      <c r="V45" s="116" t="s">
        <v>9</v>
      </c>
      <c r="W45" s="116" t="s">
        <v>263</v>
      </c>
      <c r="X45" s="116" t="s">
        <v>10</v>
      </c>
    </row>
    <row r="46" spans="1:24" ht="15.75" thickBot="1" x14ac:dyDescent="0.3">
      <c r="A46" s="330"/>
      <c r="B46" s="330"/>
      <c r="C46" s="170" t="s">
        <v>13</v>
      </c>
      <c r="D46" s="100"/>
      <c r="E46" s="191"/>
      <c r="F46" s="101"/>
      <c r="G46" s="191"/>
      <c r="H46" s="103">
        <f>H45+H41</f>
        <v>36173.068751896477</v>
      </c>
      <c r="I46" s="209">
        <f>I45+I41</f>
        <v>8.6769273166645426</v>
      </c>
      <c r="J46" s="103">
        <f>J45+J41</f>
        <v>704132404.93146992</v>
      </c>
      <c r="K46" s="226">
        <f>K45+K41</f>
        <v>168902.05641118711</v>
      </c>
      <c r="O46" s="1" t="s">
        <v>3</v>
      </c>
      <c r="P46" s="114">
        <v>6.0000000000000001E-3</v>
      </c>
      <c r="Q46" s="77">
        <f>P44*P46</f>
        <v>26.1</v>
      </c>
      <c r="R46" s="160"/>
      <c r="V46" s="77">
        <f>G36</f>
        <v>1672732.6043614587</v>
      </c>
      <c r="W46" s="77">
        <f>R51</f>
        <v>31794</v>
      </c>
      <c r="X46" s="77">
        <f>V46+W46</f>
        <v>1704526.6043614587</v>
      </c>
    </row>
    <row r="47" spans="1:24" ht="15.75" thickBot="1" x14ac:dyDescent="0.3">
      <c r="A47" s="330"/>
      <c r="B47" s="330"/>
      <c r="C47" s="29"/>
      <c r="D47" s="87"/>
      <c r="E47" s="190"/>
      <c r="F47" s="87"/>
      <c r="G47" s="201"/>
      <c r="H47" s="87"/>
      <c r="I47" s="190"/>
      <c r="J47" s="87"/>
      <c r="K47" s="223"/>
      <c r="O47" s="1" t="s">
        <v>260</v>
      </c>
      <c r="P47" s="114">
        <v>4.0000000000000001E-3</v>
      </c>
      <c r="Q47" s="77">
        <f>P44*P47</f>
        <v>17.400000000000002</v>
      </c>
      <c r="R47" s="160"/>
      <c r="V47" s="29"/>
      <c r="W47" s="116" t="s">
        <v>264</v>
      </c>
      <c r="X47" s="118" t="s">
        <v>265</v>
      </c>
    </row>
    <row r="48" spans="1:24" x14ac:dyDescent="0.25">
      <c r="A48" s="167"/>
      <c r="B48" s="75"/>
      <c r="C48" s="237" t="s">
        <v>238</v>
      </c>
      <c r="D48" s="162">
        <f>F48/'DECISIÓN FINAL DE CUBICAJE'!G52</f>
        <v>101.28309241963761</v>
      </c>
      <c r="E48" s="192">
        <f>D48/D8</f>
        <v>2.4381711486988054E-2</v>
      </c>
      <c r="F48" s="105">
        <f>G48*D8</f>
        <v>612560.14295396826</v>
      </c>
      <c r="G48" s="202">
        <f>Q40</f>
        <v>147.46059107330376</v>
      </c>
      <c r="H48" s="105"/>
      <c r="I48" s="202"/>
      <c r="J48" s="105"/>
      <c r="K48" s="227"/>
      <c r="O48" s="1" t="s">
        <v>261</v>
      </c>
      <c r="P48" s="114">
        <v>6.0000000000000001E-3</v>
      </c>
      <c r="Q48" s="77">
        <f>P44*P48</f>
        <v>26.1</v>
      </c>
      <c r="R48" s="160"/>
      <c r="U48" s="29"/>
      <c r="W48" s="117">
        <v>0.81</v>
      </c>
      <c r="X48" s="77">
        <f>X46/W48</f>
        <v>2104353.8325450104</v>
      </c>
    </row>
    <row r="49" spans="1:26" ht="15.75" customHeight="1" x14ac:dyDescent="0.25">
      <c r="A49" s="330" t="s">
        <v>237</v>
      </c>
      <c r="B49" s="330"/>
      <c r="C49" s="168" t="s">
        <v>236</v>
      </c>
      <c r="D49" s="156"/>
      <c r="E49" s="178"/>
      <c r="F49" s="90"/>
      <c r="G49" s="189"/>
      <c r="H49" s="90">
        <f>I49*D9</f>
        <v>958842.4</v>
      </c>
      <c r="I49" s="189">
        <v>230</v>
      </c>
      <c r="J49" s="90">
        <f>K49*D9</f>
        <v>6711896.7999999998</v>
      </c>
      <c r="K49" s="215">
        <f>230*7</f>
        <v>1610</v>
      </c>
      <c r="O49" s="1" t="s">
        <v>262</v>
      </c>
      <c r="P49" s="1">
        <v>105</v>
      </c>
      <c r="Q49" s="77">
        <f>P49</f>
        <v>105</v>
      </c>
      <c r="R49" s="160"/>
      <c r="W49" s="1">
        <v>0.81</v>
      </c>
    </row>
    <row r="50" spans="1:26" ht="15.75" thickBot="1" x14ac:dyDescent="0.3">
      <c r="A50" s="330"/>
      <c r="B50" s="330"/>
      <c r="C50" s="169" t="s">
        <v>239</v>
      </c>
      <c r="D50" s="156">
        <f>E50*D8</f>
        <v>206.05456349206349</v>
      </c>
      <c r="E50" s="178">
        <f>300/'DECISIÓN FINAL DE CUBICAJE'!G52</f>
        <v>4.96031746031746E-2</v>
      </c>
      <c r="F50" s="90">
        <f>G50*D8</f>
        <v>1246218.0000000002</v>
      </c>
      <c r="G50" s="189">
        <f>300</f>
        <v>300</v>
      </c>
      <c r="H50" s="89"/>
      <c r="I50" s="177"/>
      <c r="J50" s="86"/>
      <c r="K50" s="213"/>
      <c r="O50" s="256" t="s">
        <v>248</v>
      </c>
      <c r="P50" s="258"/>
      <c r="Q50" s="77">
        <f>SUM(Q45:Q49)</f>
        <v>192</v>
      </c>
      <c r="R50" s="144" t="s">
        <v>271</v>
      </c>
    </row>
    <row r="51" spans="1:26" ht="15.75" thickBot="1" x14ac:dyDescent="0.3">
      <c r="A51" s="330"/>
      <c r="B51" s="330"/>
      <c r="C51" s="168" t="s">
        <v>240</v>
      </c>
      <c r="D51" s="156">
        <f>E51*D8</f>
        <v>22.551527226631396</v>
      </c>
      <c r="E51" s="198">
        <f>G51/'DECISIÓN FINAL DE CUBICAJE'!G52</f>
        <v>5.428791887125221E-3</v>
      </c>
      <c r="F51" s="156">
        <f>G51*D8</f>
        <v>136391.63666666669</v>
      </c>
      <c r="G51" s="180">
        <f>985/60*2</f>
        <v>32.833333333333336</v>
      </c>
      <c r="H51" s="157">
        <f>I51*D9</f>
        <v>11.315990961199295</v>
      </c>
      <c r="I51" s="211">
        <f>985/120*2/'DECISIÓN FINAL DE CUBICAJE'!G52</f>
        <v>2.7143959435626105E-3</v>
      </c>
      <c r="J51" s="158">
        <f>K51*D9</f>
        <v>4106346.8000000003</v>
      </c>
      <c r="K51" s="228">
        <v>985</v>
      </c>
      <c r="Q51" s="81">
        <f>Q50+P44</f>
        <v>4542</v>
      </c>
      <c r="R51" s="81">
        <f>Q51*7</f>
        <v>31794</v>
      </c>
      <c r="V51" s="283" t="s">
        <v>310</v>
      </c>
      <c r="W51" s="283"/>
    </row>
    <row r="52" spans="1:26" x14ac:dyDescent="0.25">
      <c r="A52" s="330"/>
      <c r="B52" s="330"/>
      <c r="C52" s="169" t="s">
        <v>241</v>
      </c>
      <c r="D52" s="162">
        <f>D44*20%</f>
        <v>175656.65264206109</v>
      </c>
      <c r="E52" s="193">
        <f>E44*20%</f>
        <v>42.010672972182149</v>
      </c>
      <c r="F52" s="104">
        <f>F44*20%</f>
        <v>1435636700.4871855</v>
      </c>
      <c r="G52" s="203">
        <f>G44*20%</f>
        <v>345598.45078963367</v>
      </c>
      <c r="H52" s="86">
        <f>H46*20%</f>
        <v>7234.6137503792961</v>
      </c>
      <c r="I52" s="210">
        <f t="shared" ref="I52:J52" si="1">I46*20%</f>
        <v>1.7353854633329087</v>
      </c>
      <c r="J52" s="86">
        <f t="shared" si="1"/>
        <v>140826480.986294</v>
      </c>
      <c r="K52" s="210">
        <f>K46*20%</f>
        <v>33780.411282237423</v>
      </c>
      <c r="U52" s="144" t="s">
        <v>267</v>
      </c>
      <c r="V52" s="144" t="s">
        <v>268</v>
      </c>
      <c r="W52" s="144" t="s">
        <v>269</v>
      </c>
      <c r="X52" s="144" t="s">
        <v>306</v>
      </c>
      <c r="Y52" s="1"/>
    </row>
    <row r="53" spans="1:26" x14ac:dyDescent="0.25">
      <c r="A53" s="330"/>
      <c r="B53" s="330"/>
      <c r="C53" s="169" t="s">
        <v>242</v>
      </c>
      <c r="D53" s="154">
        <f>E53*D8</f>
        <v>1339.354662698413</v>
      </c>
      <c r="E53" s="180">
        <f>G53/'DECISIÓN FINAL DE CUBICAJE'!G52</f>
        <v>0.32242063492063494</v>
      </c>
      <c r="F53" s="90">
        <f>G53*D8</f>
        <v>8100417.0000000009</v>
      </c>
      <c r="G53" s="177">
        <v>1950</v>
      </c>
      <c r="H53" s="86">
        <f>I53*D9</f>
        <v>654.83399470899462</v>
      </c>
      <c r="I53" s="177">
        <f>950/'DECISIÓN FINAL DE CUBICAJE'!G52</f>
        <v>0.15707671957671956</v>
      </c>
      <c r="J53" s="86">
        <f>K53*D9</f>
        <v>3960436</v>
      </c>
      <c r="K53" s="213">
        <v>950</v>
      </c>
      <c r="T53" s="144" t="s">
        <v>266</v>
      </c>
      <c r="U53" s="114">
        <v>8.9999999999999993E-3</v>
      </c>
      <c r="V53" s="117">
        <v>0.05</v>
      </c>
      <c r="W53" s="117">
        <v>0.18</v>
      </c>
      <c r="X53" s="77">
        <f>U54+V54</f>
        <v>19886.143717550349</v>
      </c>
      <c r="Y53" s="77">
        <f>U54+V54</f>
        <v>19886.143717550349</v>
      </c>
      <c r="Z53" s="144" t="s">
        <v>305</v>
      </c>
    </row>
    <row r="54" spans="1:26" x14ac:dyDescent="0.25">
      <c r="A54" s="330"/>
      <c r="B54" s="330"/>
      <c r="C54" s="168" t="s">
        <v>243</v>
      </c>
      <c r="D54" s="154">
        <f>E54*D8</f>
        <v>130.50122354497356</v>
      </c>
      <c r="E54" s="180">
        <f>190/'DECISIÓN FINAL DE CUBICAJE'!G52</f>
        <v>3.1415343915343917E-2</v>
      </c>
      <c r="F54" s="90">
        <f>G54*D8</f>
        <v>789271.4</v>
      </c>
      <c r="G54" s="177">
        <v>190</v>
      </c>
      <c r="H54" s="86"/>
      <c r="I54" s="177"/>
      <c r="J54" s="86"/>
      <c r="K54" s="213"/>
      <c r="T54" s="77">
        <f>X48</f>
        <v>2104353.8325450104</v>
      </c>
      <c r="U54" s="77">
        <f>T54*U53</f>
        <v>18939.184492905093</v>
      </c>
      <c r="V54" s="119">
        <f>U54*V53</f>
        <v>946.95922464525472</v>
      </c>
      <c r="W54" s="1">
        <v>0.18</v>
      </c>
      <c r="X54" s="1" t="s">
        <v>270</v>
      </c>
      <c r="Y54" s="77">
        <f>Y53*W53</f>
        <v>3579.5058691590625</v>
      </c>
      <c r="Z54" s="113">
        <f>Y53+Y54</f>
        <v>23465.649586709413</v>
      </c>
    </row>
    <row r="55" spans="1:26" x14ac:dyDescent="0.25">
      <c r="A55" s="330"/>
      <c r="B55" s="330"/>
      <c r="C55" s="169" t="s">
        <v>244</v>
      </c>
      <c r="D55" s="154">
        <f>D44*8%</f>
        <v>70262.661056824436</v>
      </c>
      <c r="E55" s="194">
        <f t="shared" ref="E55:G55" si="2">E44*8%</f>
        <v>16.804269188872858</v>
      </c>
      <c r="F55" s="89">
        <f t="shared" si="2"/>
        <v>574254680.19487417</v>
      </c>
      <c r="G55" s="204">
        <f t="shared" si="2"/>
        <v>138239.38031585346</v>
      </c>
      <c r="H55" s="86">
        <f>H45*8%</f>
        <v>2156.6690385608467</v>
      </c>
      <c r="I55" s="210">
        <f t="shared" ref="I55:K55" si="3">I45*8%</f>
        <v>0.5173257658078062</v>
      </c>
      <c r="J55" s="86">
        <f t="shared" si="3"/>
        <v>51872149.154816002</v>
      </c>
      <c r="K55" s="229">
        <f t="shared" si="3"/>
        <v>12442.706231605609</v>
      </c>
    </row>
    <row r="56" spans="1:26" ht="15.75" thickBot="1" x14ac:dyDescent="0.3">
      <c r="A56" s="330"/>
      <c r="B56" s="330"/>
      <c r="C56" s="43" t="s">
        <v>308</v>
      </c>
      <c r="D56" s="106">
        <f>F56/'DECISIÓN FINAL DE CUBICAJE'!G52</f>
        <v>58537.58090371827</v>
      </c>
      <c r="E56" s="238">
        <v>0.05</v>
      </c>
      <c r="F56" s="88">
        <f>F43*E56</f>
        <v>354035289.30568808</v>
      </c>
      <c r="G56" s="240">
        <f>G43*E56</f>
        <v>85226.330218072937</v>
      </c>
      <c r="H56" s="88">
        <f>H45*E56</f>
        <v>1347.9181491005293</v>
      </c>
      <c r="I56" s="239">
        <f>I45*E56</f>
        <v>0.32332860362987886</v>
      </c>
      <c r="J56" s="88">
        <f>J45*E56</f>
        <v>32420093.221760001</v>
      </c>
      <c r="K56" s="239">
        <f>K45*E56</f>
        <v>7776.6913947535058</v>
      </c>
      <c r="O56" s="145"/>
      <c r="P56" s="331" t="s">
        <v>314</v>
      </c>
      <c r="Q56" s="331"/>
    </row>
    <row r="57" spans="1:26" ht="15.75" thickBot="1" x14ac:dyDescent="0.3">
      <c r="A57" s="330"/>
      <c r="B57" s="330"/>
      <c r="C57" s="171"/>
      <c r="D57" s="241"/>
      <c r="E57" s="242"/>
      <c r="F57" s="241"/>
      <c r="G57" s="243"/>
      <c r="H57" s="241"/>
      <c r="I57" s="241"/>
      <c r="J57" s="241"/>
      <c r="K57" s="241"/>
      <c r="N57" s="29"/>
      <c r="O57" s="29"/>
      <c r="P57" s="115" t="s">
        <v>8</v>
      </c>
      <c r="Q57" s="116" t="s">
        <v>263</v>
      </c>
    </row>
    <row r="58" spans="1:26" ht="15.75" customHeight="1" thickBot="1" x14ac:dyDescent="0.3">
      <c r="A58" s="330"/>
      <c r="B58" s="330"/>
      <c r="C58" s="170" t="s">
        <v>14</v>
      </c>
      <c r="D58" s="173">
        <f t="shared" ref="D58:K58" si="4">SUM(D19:D32,D38:D41,D48)</f>
        <v>64188.78630272489</v>
      </c>
      <c r="E58" s="196">
        <f t="shared" si="4"/>
        <v>14.077746572397704</v>
      </c>
      <c r="F58" s="173">
        <f t="shared" si="4"/>
        <v>2254540106.0988798</v>
      </c>
      <c r="G58" s="196">
        <f t="shared" si="4"/>
        <v>542731.71453924116</v>
      </c>
      <c r="H58" s="173">
        <f t="shared" si="4"/>
        <v>36173.068751896477</v>
      </c>
      <c r="I58" s="196">
        <f t="shared" si="4"/>
        <v>8.6769273166645426</v>
      </c>
      <c r="J58" s="173">
        <f t="shared" si="4"/>
        <v>704132404.93146992</v>
      </c>
      <c r="K58" s="230">
        <f t="shared" si="4"/>
        <v>168902.05641118711</v>
      </c>
      <c r="N58" s="145"/>
      <c r="O58" s="29"/>
      <c r="P58" s="77">
        <f>K35</f>
        <v>138599.42789507011</v>
      </c>
      <c r="Q58" s="77">
        <f>K39</f>
        <v>16934.400000000001</v>
      </c>
      <c r="R58" s="116" t="s">
        <v>12</v>
      </c>
    </row>
    <row r="59" spans="1:26" ht="15" customHeight="1" thickBot="1" x14ac:dyDescent="0.3">
      <c r="A59" s="330"/>
      <c r="B59" s="330"/>
      <c r="C59" s="170" t="s">
        <v>15</v>
      </c>
      <c r="D59" s="173">
        <f t="shared" ref="D59:K59" si="5">SUM(D19:D32,D38:D40,D48:D50,D53)</f>
        <v>65734.19552891537</v>
      </c>
      <c r="E59" s="196">
        <f t="shared" si="5"/>
        <v>14.449770381921512</v>
      </c>
      <c r="F59" s="173">
        <f t="shared" si="5"/>
        <v>2263886741.0988798</v>
      </c>
      <c r="G59" s="196">
        <f t="shared" si="5"/>
        <v>544981.71453924116</v>
      </c>
      <c r="H59" s="173">
        <f t="shared" si="5"/>
        <v>986455.59697671956</v>
      </c>
      <c r="I59" s="196">
        <f t="shared" si="5"/>
        <v>236.62364879217429</v>
      </c>
      <c r="J59" s="173">
        <f t="shared" si="5"/>
        <v>659074197.23519993</v>
      </c>
      <c r="K59" s="230">
        <f t="shared" si="5"/>
        <v>158093.82789507011</v>
      </c>
      <c r="N59" s="29"/>
      <c r="Q59" s="143" t="s">
        <v>264</v>
      </c>
      <c r="R59" s="77">
        <f>P58+Q58</f>
        <v>155533.82789507011</v>
      </c>
    </row>
    <row r="60" spans="1:26" ht="15.75" customHeight="1" thickBot="1" x14ac:dyDescent="0.3">
      <c r="A60" s="330"/>
      <c r="B60" s="330"/>
      <c r="C60" s="79" t="s">
        <v>16</v>
      </c>
      <c r="D60" s="173">
        <f t="shared" ref="D60:K60" si="6">SUM(D19:D32,D38:D41,D48:D56)</f>
        <v>370344.14288229076</v>
      </c>
      <c r="E60" s="196">
        <f t="shared" si="6"/>
        <v>73.351556678778977</v>
      </c>
      <c r="F60" s="173">
        <f t="shared" si="6"/>
        <v>4628739074.1232948</v>
      </c>
      <c r="G60" s="196">
        <f t="shared" si="6"/>
        <v>1114268.7091961347</v>
      </c>
      <c r="H60" s="173">
        <f t="shared" si="6"/>
        <v>1006420.8196756073</v>
      </c>
      <c r="I60" s="196">
        <f t="shared" si="6"/>
        <v>241.41275826495541</v>
      </c>
      <c r="J60" s="173">
        <f t="shared" si="6"/>
        <v>944029807.89433992</v>
      </c>
      <c r="K60" s="230">
        <f t="shared" si="6"/>
        <v>226446.86531978362</v>
      </c>
      <c r="Q60" s="1">
        <v>0.81</v>
      </c>
      <c r="R60" s="118" t="s">
        <v>265</v>
      </c>
    </row>
    <row r="61" spans="1:26" x14ac:dyDescent="0.25">
      <c r="A61" s="167"/>
      <c r="B61" s="167"/>
      <c r="O61" s="121"/>
      <c r="Q61" s="117">
        <v>0.81</v>
      </c>
      <c r="R61" s="77">
        <f>R59/Q60</f>
        <v>192017.07147539518</v>
      </c>
    </row>
    <row r="62" spans="1:26" x14ac:dyDescent="0.25">
      <c r="A62" s="167"/>
      <c r="B62" s="167"/>
      <c r="L62" s="80"/>
      <c r="M62" s="80"/>
      <c r="N62" s="29"/>
      <c r="O62" s="29"/>
    </row>
    <row r="63" spans="1:26" x14ac:dyDescent="0.25">
      <c r="A63" s="167"/>
      <c r="B63" s="167"/>
      <c r="N63" s="29"/>
      <c r="O63" s="29"/>
    </row>
    <row r="64" spans="1:26" x14ac:dyDescent="0.25">
      <c r="A64" s="167"/>
      <c r="B64" s="167"/>
      <c r="N64" s="29"/>
    </row>
    <row r="65" spans="1:20" x14ac:dyDescent="0.25">
      <c r="A65" s="167"/>
      <c r="B65" s="167"/>
      <c r="N65" s="29"/>
    </row>
    <row r="66" spans="1:20" x14ac:dyDescent="0.25">
      <c r="A66" s="167"/>
      <c r="B66" s="167"/>
      <c r="P66" s="283" t="s">
        <v>311</v>
      </c>
      <c r="Q66" s="283"/>
    </row>
    <row r="67" spans="1:20" x14ac:dyDescent="0.25">
      <c r="A67" s="167"/>
      <c r="B67" s="167"/>
      <c r="O67" s="144" t="s">
        <v>267</v>
      </c>
      <c r="P67" s="144" t="s">
        <v>268</v>
      </c>
      <c r="Q67" s="144" t="s">
        <v>269</v>
      </c>
    </row>
    <row r="68" spans="1:20" x14ac:dyDescent="0.25">
      <c r="A68" s="167"/>
      <c r="B68" s="167"/>
      <c r="O68" s="114">
        <v>8.9999999999999993E-3</v>
      </c>
      <c r="P68" s="117">
        <v>0.05</v>
      </c>
      <c r="Q68" s="117">
        <v>0.18</v>
      </c>
      <c r="R68" s="144" t="s">
        <v>306</v>
      </c>
      <c r="S68" s="1"/>
    </row>
    <row r="69" spans="1:20" x14ac:dyDescent="0.25">
      <c r="A69" s="167"/>
      <c r="B69" s="167"/>
      <c r="N69" s="144" t="s">
        <v>266</v>
      </c>
      <c r="O69" s="120">
        <f>N70*O68</f>
        <v>1728.1536432785565</v>
      </c>
      <c r="P69" s="119">
        <f>N70*P68</f>
        <v>9600.8535737697584</v>
      </c>
      <c r="Q69" s="1">
        <v>0.18</v>
      </c>
      <c r="R69" s="77">
        <f>O69+P69</f>
        <v>11329.007217048314</v>
      </c>
      <c r="S69" s="120">
        <f>O69+P69</f>
        <v>11329.007217048314</v>
      </c>
      <c r="T69" s="144" t="s">
        <v>305</v>
      </c>
    </row>
    <row r="70" spans="1:20" x14ac:dyDescent="0.25">
      <c r="A70" s="167"/>
      <c r="B70" s="167"/>
      <c r="N70" s="119">
        <f>R61</f>
        <v>192017.07147539518</v>
      </c>
      <c r="R70" s="1" t="s">
        <v>270</v>
      </c>
      <c r="S70" s="120">
        <f>S69*Q68</f>
        <v>2039.2212990686965</v>
      </c>
      <c r="T70" s="113">
        <f>S69+S70</f>
        <v>13368.228516117011</v>
      </c>
    </row>
    <row r="71" spans="1:20" x14ac:dyDescent="0.25">
      <c r="A71" s="167"/>
      <c r="B71" s="167"/>
    </row>
    <row r="72" spans="1:20" x14ac:dyDescent="0.25">
      <c r="A72" s="167"/>
      <c r="B72" s="167"/>
    </row>
    <row r="73" spans="1:20" x14ac:dyDescent="0.25">
      <c r="A73" s="167"/>
      <c r="B73" s="167"/>
    </row>
    <row r="74" spans="1:20" x14ac:dyDescent="0.25">
      <c r="A74" s="167"/>
      <c r="B74" s="167"/>
    </row>
    <row r="75" spans="1:20" x14ac:dyDescent="0.25">
      <c r="A75" s="167"/>
      <c r="B75" s="167"/>
    </row>
    <row r="76" spans="1:20" x14ac:dyDescent="0.25">
      <c r="A76" s="166"/>
      <c r="M76" s="29"/>
    </row>
    <row r="77" spans="1:20" x14ac:dyDescent="0.25">
      <c r="A77" s="166"/>
      <c r="M77" s="29"/>
    </row>
    <row r="78" spans="1:20" x14ac:dyDescent="0.25">
      <c r="A78" s="167"/>
      <c r="M78" s="29"/>
    </row>
    <row r="79" spans="1:20" x14ac:dyDescent="0.25">
      <c r="A79" s="66"/>
      <c r="B79" s="66"/>
    </row>
    <row r="80" spans="1:20" x14ac:dyDescent="0.25">
      <c r="A80" s="66"/>
      <c r="B80" s="66"/>
    </row>
    <row r="81" spans="1:20" x14ac:dyDescent="0.25">
      <c r="A81" s="66"/>
      <c r="B81" s="66"/>
    </row>
    <row r="82" spans="1:20" x14ac:dyDescent="0.25">
      <c r="A82" s="66"/>
      <c r="B82" s="66"/>
    </row>
    <row r="85" spans="1:20" x14ac:dyDescent="0.25">
      <c r="N85" s="29"/>
      <c r="T85" s="236"/>
    </row>
  </sheetData>
  <mergeCells count="45">
    <mergeCell ref="A39:B47"/>
    <mergeCell ref="A49:B60"/>
    <mergeCell ref="A19:B35"/>
    <mergeCell ref="V44:W44"/>
    <mergeCell ref="V51:W51"/>
    <mergeCell ref="P56:Q56"/>
    <mergeCell ref="O19:P19"/>
    <mergeCell ref="O34:P34"/>
    <mergeCell ref="O26:P26"/>
    <mergeCell ref="O29:P29"/>
    <mergeCell ref="O30:P30"/>
    <mergeCell ref="O31:P31"/>
    <mergeCell ref="O32:P32"/>
    <mergeCell ref="O36:P36"/>
    <mergeCell ref="O27:P27"/>
    <mergeCell ref="O35:P35"/>
    <mergeCell ref="P66:Q66"/>
    <mergeCell ref="O43:P43"/>
    <mergeCell ref="O50:P50"/>
    <mergeCell ref="O37:P37"/>
    <mergeCell ref="O38:P38"/>
    <mergeCell ref="O39:P39"/>
    <mergeCell ref="O40:P40"/>
    <mergeCell ref="D7:F7"/>
    <mergeCell ref="C2:F2"/>
    <mergeCell ref="D3:F3"/>
    <mergeCell ref="D4:F4"/>
    <mergeCell ref="D5:F5"/>
    <mergeCell ref="D6:F6"/>
    <mergeCell ref="D8:F8"/>
    <mergeCell ref="D9:F9"/>
    <mergeCell ref="C12:K13"/>
    <mergeCell ref="C14:C16"/>
    <mergeCell ref="D14:G14"/>
    <mergeCell ref="H14:K14"/>
    <mergeCell ref="D15:E15"/>
    <mergeCell ref="F15:G15"/>
    <mergeCell ref="H15:I15"/>
    <mergeCell ref="J15:K15"/>
    <mergeCell ref="O28:P28"/>
    <mergeCell ref="O20:P20"/>
    <mergeCell ref="O21:P21"/>
    <mergeCell ref="O22:P22"/>
    <mergeCell ref="O23:P23"/>
    <mergeCell ref="O24:P24"/>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249977111117893"/>
  </sheetPr>
  <dimension ref="A1:AG85"/>
  <sheetViews>
    <sheetView topLeftCell="O50" zoomScale="84" zoomScaleNormal="84" workbookViewId="0">
      <selection activeCell="F49" sqref="F49"/>
    </sheetView>
  </sheetViews>
  <sheetFormatPr baseColWidth="10" defaultRowHeight="15" x14ac:dyDescent="0.25"/>
  <cols>
    <col min="3" max="3" width="34" customWidth="1"/>
    <col min="4" max="4" width="20.85546875" customWidth="1"/>
    <col min="5" max="5" width="18.42578125" customWidth="1"/>
    <col min="6" max="6" width="20.140625" customWidth="1"/>
    <col min="7" max="7" width="27" customWidth="1"/>
    <col min="8" max="8" width="20.85546875" customWidth="1"/>
    <col min="9" max="9" width="20.28515625" customWidth="1"/>
    <col min="10" max="10" width="22.42578125" customWidth="1"/>
    <col min="11" max="11" width="21.140625" customWidth="1"/>
    <col min="14" max="14" width="16.5703125" customWidth="1"/>
    <col min="15" max="15" width="17.140625" customWidth="1"/>
    <col min="16" max="16" width="30.7109375" customWidth="1"/>
    <col min="17" max="17" width="19.7109375" customWidth="1"/>
    <col min="18" max="18" width="19.5703125" customWidth="1"/>
    <col min="19" max="19" width="16.7109375" customWidth="1"/>
    <col min="20" max="20" width="18.7109375" customWidth="1"/>
    <col min="21" max="21" width="16.42578125" customWidth="1"/>
    <col min="22" max="22" width="21.5703125" customWidth="1"/>
    <col min="24" max="24" width="19.42578125" customWidth="1"/>
    <col min="25" max="25" width="17.7109375" customWidth="1"/>
    <col min="26" max="26" width="18.28515625" customWidth="1"/>
  </cols>
  <sheetData>
    <row r="1" spans="1:11" ht="15.75" thickBot="1" x14ac:dyDescent="0.3">
      <c r="A1" s="66"/>
      <c r="B1" s="66"/>
      <c r="C1" s="1"/>
    </row>
    <row r="2" spans="1:11" x14ac:dyDescent="0.25">
      <c r="A2" s="66"/>
      <c r="B2" s="66"/>
      <c r="C2" s="315" t="s">
        <v>214</v>
      </c>
      <c r="D2" s="316"/>
      <c r="E2" s="316"/>
      <c r="F2" s="317"/>
    </row>
    <row r="3" spans="1:11" x14ac:dyDescent="0.25">
      <c r="A3" s="66"/>
      <c r="B3" s="66"/>
      <c r="C3" s="1"/>
      <c r="D3" s="364"/>
      <c r="E3" s="364"/>
      <c r="F3" s="365"/>
    </row>
    <row r="4" spans="1:11" x14ac:dyDescent="0.25">
      <c r="A4" s="66"/>
      <c r="B4" s="66"/>
      <c r="C4" s="1"/>
      <c r="D4" s="364"/>
      <c r="E4" s="364"/>
      <c r="F4" s="365"/>
    </row>
    <row r="5" spans="1:11" x14ac:dyDescent="0.25">
      <c r="A5" s="66"/>
      <c r="B5" s="66"/>
      <c r="C5" s="1"/>
      <c r="D5" s="366"/>
      <c r="E5" s="367"/>
      <c r="F5" s="368"/>
    </row>
    <row r="6" spans="1:11" x14ac:dyDescent="0.25">
      <c r="A6" s="66"/>
      <c r="B6" s="66"/>
      <c r="C6" s="1"/>
      <c r="D6" s="369"/>
      <c r="E6" s="370"/>
      <c r="F6" s="371"/>
    </row>
    <row r="7" spans="1:11" x14ac:dyDescent="0.25">
      <c r="A7" s="66"/>
      <c r="B7" s="66"/>
      <c r="C7" s="1"/>
      <c r="D7" s="361"/>
      <c r="E7" s="362"/>
      <c r="F7" s="363"/>
    </row>
    <row r="8" spans="1:11" x14ac:dyDescent="0.25">
      <c r="A8" s="66"/>
      <c r="B8" s="66"/>
      <c r="C8" s="1" t="s">
        <v>256</v>
      </c>
      <c r="D8" s="359">
        <f>'LINEA DE TIEMPO MARITIMA'!AK115</f>
        <v>3980.2</v>
      </c>
      <c r="E8" s="359"/>
      <c r="F8" s="360"/>
    </row>
    <row r="9" spans="1:11" ht="15.75" thickBot="1" x14ac:dyDescent="0.3">
      <c r="A9" s="66"/>
      <c r="B9" s="66"/>
      <c r="C9" s="1" t="s">
        <v>257</v>
      </c>
      <c r="D9" s="320">
        <f>'LINEA DE TIEMPO AEREA'!Y147</f>
        <v>4128.08</v>
      </c>
      <c r="E9" s="320"/>
      <c r="F9" s="321"/>
    </row>
    <row r="10" spans="1:11" x14ac:dyDescent="0.25">
      <c r="A10" s="66"/>
      <c r="B10" s="66"/>
      <c r="C10" s="29"/>
    </row>
    <row r="11" spans="1:11" x14ac:dyDescent="0.25">
      <c r="A11" s="66"/>
      <c r="B11" s="66"/>
      <c r="C11" s="29"/>
    </row>
    <row r="12" spans="1:11" x14ac:dyDescent="0.25">
      <c r="A12" s="66"/>
      <c r="B12" s="66"/>
      <c r="C12" s="358" t="s">
        <v>215</v>
      </c>
      <c r="D12" s="358"/>
      <c r="E12" s="358"/>
      <c r="F12" s="358"/>
      <c r="G12" s="358"/>
      <c r="H12" s="358"/>
      <c r="I12" s="358"/>
      <c r="J12" s="358"/>
      <c r="K12" s="358"/>
    </row>
    <row r="13" spans="1:11" x14ac:dyDescent="0.25">
      <c r="A13" s="66"/>
      <c r="B13" s="66"/>
      <c r="C13" s="358"/>
      <c r="D13" s="358"/>
      <c r="E13" s="358"/>
      <c r="F13" s="358"/>
      <c r="G13" s="358"/>
      <c r="H13" s="358"/>
      <c r="I13" s="358"/>
      <c r="J13" s="358"/>
      <c r="K13" s="358"/>
    </row>
    <row r="14" spans="1:11" ht="15.75" thickBot="1" x14ac:dyDescent="0.3">
      <c r="A14" s="66"/>
      <c r="B14" s="66"/>
      <c r="C14" s="357" t="s">
        <v>0</v>
      </c>
      <c r="D14" s="352" t="s">
        <v>1</v>
      </c>
      <c r="E14" s="353"/>
      <c r="F14" s="353"/>
      <c r="G14" s="353"/>
      <c r="H14" s="352" t="s">
        <v>5</v>
      </c>
      <c r="I14" s="353"/>
      <c r="J14" s="353"/>
      <c r="K14" s="353"/>
    </row>
    <row r="15" spans="1:11" x14ac:dyDescent="0.25">
      <c r="A15" s="66"/>
      <c r="B15" s="66"/>
      <c r="C15" s="358"/>
      <c r="D15" s="350" t="s">
        <v>216</v>
      </c>
      <c r="E15" s="351"/>
      <c r="F15" s="341" t="s">
        <v>217</v>
      </c>
      <c r="G15" s="342"/>
      <c r="H15" s="341" t="s">
        <v>216</v>
      </c>
      <c r="I15" s="342"/>
      <c r="J15" s="349" t="s">
        <v>2</v>
      </c>
      <c r="K15" s="342"/>
    </row>
    <row r="16" spans="1:11" ht="15.75" thickBot="1" x14ac:dyDescent="0.3">
      <c r="A16" s="66"/>
      <c r="B16" s="66"/>
      <c r="C16" s="358"/>
      <c r="D16" s="67" t="s">
        <v>3</v>
      </c>
      <c r="E16" s="68" t="s">
        <v>4</v>
      </c>
      <c r="F16" s="69" t="s">
        <v>3</v>
      </c>
      <c r="G16" s="68" t="s">
        <v>4</v>
      </c>
      <c r="H16" s="69" t="s">
        <v>3</v>
      </c>
      <c r="I16" s="139" t="s">
        <v>4</v>
      </c>
      <c r="J16" s="67" t="s">
        <v>3</v>
      </c>
      <c r="K16" s="68" t="s">
        <v>4</v>
      </c>
    </row>
    <row r="17" spans="1:33" ht="15.75" thickBot="1" x14ac:dyDescent="0.3">
      <c r="A17" s="66"/>
      <c r="B17" s="66"/>
      <c r="C17" s="155" t="s">
        <v>6</v>
      </c>
      <c r="D17" s="70">
        <f>E17*D8</f>
        <v>780119.2</v>
      </c>
      <c r="E17" s="174">
        <f>3.5*56</f>
        <v>196</v>
      </c>
      <c r="F17" s="71">
        <f>G17*D8</f>
        <v>5392183910.3999996</v>
      </c>
      <c r="G17" s="174">
        <f>'DECISIÓN FINAL DE CUBICAJE'!L52*E17</f>
        <v>1354752</v>
      </c>
      <c r="H17" s="72">
        <f>I17*D9</f>
        <v>809103.67999999993</v>
      </c>
      <c r="I17" s="175">
        <f>E17</f>
        <v>196</v>
      </c>
      <c r="J17" s="71">
        <f>K17*D9</f>
        <v>5592524636.1599998</v>
      </c>
      <c r="K17" s="174">
        <f>3.5*56*'DECISIÓN FINAL DE CUBICAJE'!L52</f>
        <v>1354752</v>
      </c>
    </row>
    <row r="18" spans="1:33" ht="15.75" customHeight="1" thickBot="1" x14ac:dyDescent="0.3">
      <c r="A18" s="66"/>
      <c r="B18" s="66"/>
      <c r="C18" s="29"/>
      <c r="D18" s="73"/>
      <c r="E18" s="74"/>
      <c r="F18" s="74"/>
      <c r="G18" s="74"/>
      <c r="H18" s="74"/>
      <c r="J18" s="74"/>
      <c r="K18" s="74"/>
    </row>
    <row r="19" spans="1:33" ht="15.75" customHeight="1" thickBot="1" x14ac:dyDescent="0.3">
      <c r="A19" s="324" t="s">
        <v>218</v>
      </c>
      <c r="B19" s="325"/>
      <c r="C19" s="1" t="s">
        <v>219</v>
      </c>
      <c r="D19" s="82">
        <f>E19*D8</f>
        <v>1393.07</v>
      </c>
      <c r="E19" s="176">
        <f>0.35</f>
        <v>0.35</v>
      </c>
      <c r="F19" s="84">
        <f>G19*D8</f>
        <v>539218391.03999996</v>
      </c>
      <c r="G19" s="176">
        <f>E19*56*'DECISIÓN FINAL DE CUBICAJE'!L52</f>
        <v>135475.19999999998</v>
      </c>
      <c r="H19" s="85">
        <f>I19*D9</f>
        <v>1444.828</v>
      </c>
      <c r="I19" s="176">
        <f>0.35</f>
        <v>0.35</v>
      </c>
      <c r="J19" s="84">
        <f>D9*K19</f>
        <v>559252463.61599994</v>
      </c>
      <c r="K19" s="212">
        <f>0.35*56*'DECISIÓN FINAL DE CUBICAJE'!L52</f>
        <v>135475.19999999998</v>
      </c>
      <c r="O19" s="322" t="s">
        <v>255</v>
      </c>
      <c r="P19" s="323"/>
      <c r="Q19" s="151" t="s">
        <v>4</v>
      </c>
      <c r="AG19" t="s">
        <v>307</v>
      </c>
    </row>
    <row r="20" spans="1:33" ht="15.75" thickBot="1" x14ac:dyDescent="0.3">
      <c r="A20" s="326"/>
      <c r="B20" s="327"/>
      <c r="C20" s="1" t="s">
        <v>220</v>
      </c>
      <c r="D20" s="82">
        <f>E20*D8</f>
        <v>10945.55</v>
      </c>
      <c r="E20" s="177">
        <v>2.75</v>
      </c>
      <c r="F20" s="84">
        <f>G20*D8</f>
        <v>75655641.599999994</v>
      </c>
      <c r="G20" s="177">
        <f>E20*'DECISIÓN FINAL DE CUBICAJE'!L52</f>
        <v>19008</v>
      </c>
      <c r="H20" s="85">
        <f>I20*D9</f>
        <v>11352.22</v>
      </c>
      <c r="I20" s="177">
        <v>2.75</v>
      </c>
      <c r="J20" s="84">
        <f>D9*K20</f>
        <v>78466544.640000001</v>
      </c>
      <c r="K20" s="213">
        <f>2.75*'DECISIÓN FINAL DE CUBICAJE'!L52</f>
        <v>19008</v>
      </c>
      <c r="O20" s="283" t="s">
        <v>6</v>
      </c>
      <c r="P20" s="283"/>
      <c r="Q20" s="233">
        <f>G17</f>
        <v>1354752</v>
      </c>
    </row>
    <row r="21" spans="1:33" ht="15.75" thickBot="1" x14ac:dyDescent="0.3">
      <c r="A21" s="326"/>
      <c r="B21" s="327"/>
      <c r="C21" s="76" t="s">
        <v>221</v>
      </c>
      <c r="D21" s="82">
        <f>E21*D8</f>
        <v>318.416</v>
      </c>
      <c r="E21" s="177">
        <v>0.08</v>
      </c>
      <c r="F21" s="84">
        <f>G21*D8</f>
        <v>2200891.392</v>
      </c>
      <c r="G21" s="177">
        <f>E21*'DECISIÓN FINAL DE CUBICAJE'!L52</f>
        <v>552.96</v>
      </c>
      <c r="H21" s="105">
        <f>I21*D9</f>
        <v>330.24639999999999</v>
      </c>
      <c r="I21" s="205">
        <v>0.08</v>
      </c>
      <c r="J21" s="104">
        <f>D9*K21</f>
        <v>2282663.1168</v>
      </c>
      <c r="K21" s="214">
        <f>0.08*'DECISIÓN FINAL DE CUBICAJE'!L52</f>
        <v>552.96</v>
      </c>
      <c r="O21" s="283" t="s">
        <v>226</v>
      </c>
      <c r="P21" s="283"/>
      <c r="Q21" s="233">
        <f>Q20*0.7%</f>
        <v>9483.2639999999992</v>
      </c>
    </row>
    <row r="22" spans="1:33" ht="15.75" thickBot="1" x14ac:dyDescent="0.3">
      <c r="A22" s="326"/>
      <c r="B22" s="327"/>
      <c r="C22" s="1" t="s">
        <v>222</v>
      </c>
      <c r="D22" s="163">
        <f>E22*D8</f>
        <v>31.67115162037037</v>
      </c>
      <c r="E22" s="178">
        <f>55/'DECISIÓN FINAL DE CUBICAJE'!L52</f>
        <v>7.9571759259259266E-3</v>
      </c>
      <c r="F22" s="164">
        <f>G22*D8</f>
        <v>1513112832</v>
      </c>
      <c r="G22" s="199">
        <f>55*'DECISIÓN FINAL DE CUBICAJE'!L52</f>
        <v>380160</v>
      </c>
      <c r="H22" s="90"/>
      <c r="I22" s="189"/>
      <c r="J22" s="90"/>
      <c r="K22" s="215"/>
      <c r="O22" s="283" t="s">
        <v>227</v>
      </c>
      <c r="P22" s="283"/>
      <c r="Q22" s="233">
        <f>14000/D8</f>
        <v>3.5174111853675698</v>
      </c>
    </row>
    <row r="23" spans="1:33" ht="15.75" thickBot="1" x14ac:dyDescent="0.3">
      <c r="A23" s="326"/>
      <c r="B23" s="327"/>
      <c r="C23" s="43" t="s">
        <v>223</v>
      </c>
      <c r="D23" s="161">
        <f>F23/'DECISIÓN FINAL DE CUBICAJE'!L52</f>
        <v>13.744212962962964</v>
      </c>
      <c r="E23" s="197">
        <f>D23/D8</f>
        <v>3.4531463149999912E-3</v>
      </c>
      <c r="F23" s="154">
        <f>5700000/120*2</f>
        <v>95000</v>
      </c>
      <c r="G23" s="179">
        <f>F23/D8</f>
        <v>23.868147329279935</v>
      </c>
      <c r="H23" s="154">
        <f>J23/'DECISIÓN FINAL DE CUBICAJE'!L52</f>
        <v>13.744212962962964</v>
      </c>
      <c r="I23" s="197">
        <f>H23/D9</f>
        <v>3.3294444300892823E-3</v>
      </c>
      <c r="J23" s="154">
        <f>5700000/120*2</f>
        <v>95000</v>
      </c>
      <c r="K23" s="216">
        <f>J23/D9</f>
        <v>23.013119900777117</v>
      </c>
      <c r="O23" s="283" t="s">
        <v>245</v>
      </c>
      <c r="P23" s="283"/>
      <c r="Q23" s="233">
        <f>220000/D8</f>
        <v>55.273604341490383</v>
      </c>
    </row>
    <row r="24" spans="1:33" ht="15.75" thickBot="1" x14ac:dyDescent="0.3">
      <c r="A24" s="326"/>
      <c r="B24" s="327"/>
      <c r="C24" s="1" t="s">
        <v>224</v>
      </c>
      <c r="D24" s="154">
        <f>E24*D8</f>
        <v>143.95978009259258</v>
      </c>
      <c r="E24" s="180">
        <f>250/'DECISIÓN FINAL DE CUBICAJE'!L52</f>
        <v>3.6168981481481483E-2</v>
      </c>
      <c r="F24" s="154">
        <f>G24*D8</f>
        <v>995050</v>
      </c>
      <c r="G24" s="180">
        <f>250</f>
        <v>250</v>
      </c>
      <c r="H24" s="83">
        <f>I24*D9</f>
        <v>149.30844907407408</v>
      </c>
      <c r="I24" s="177">
        <f>250/'DECISIÓN FINAL DE CUBICAJE'!L52</f>
        <v>3.6168981481481483E-2</v>
      </c>
      <c r="J24" s="89">
        <f>K24*D9</f>
        <v>1032020</v>
      </c>
      <c r="K24" s="213">
        <v>250</v>
      </c>
      <c r="L24" s="80"/>
      <c r="M24" s="80"/>
      <c r="N24" s="80"/>
      <c r="O24" s="332" t="s">
        <v>246</v>
      </c>
      <c r="P24" s="333"/>
      <c r="Q24" s="234">
        <f>SUM(Q21:Q23)</f>
        <v>9542.0550155268575</v>
      </c>
      <c r="R24" s="80"/>
    </row>
    <row r="25" spans="1:33" ht="15.75" thickBot="1" x14ac:dyDescent="0.3">
      <c r="A25" s="326"/>
      <c r="B25" s="327"/>
      <c r="C25" s="1" t="s">
        <v>225</v>
      </c>
      <c r="D25" s="154">
        <f>9750000/'DECISIÓN FINAL DE CUBICAJE'!L52</f>
        <v>1410.5902777777778</v>
      </c>
      <c r="E25" s="180">
        <f>D25/D8</f>
        <v>0.35440185864473589</v>
      </c>
      <c r="F25" s="154">
        <v>9750000</v>
      </c>
      <c r="G25" s="180">
        <f>F25/D8</f>
        <v>2449.6256469524146</v>
      </c>
      <c r="H25" s="83"/>
      <c r="I25" s="176"/>
      <c r="J25" s="83"/>
      <c r="K25" s="212"/>
      <c r="O25" s="80"/>
      <c r="P25" s="80"/>
      <c r="Q25" s="80"/>
    </row>
    <row r="26" spans="1:33" x14ac:dyDescent="0.25">
      <c r="A26" s="326"/>
      <c r="B26" s="327"/>
      <c r="C26" s="1" t="s">
        <v>226</v>
      </c>
      <c r="D26" s="154">
        <f>F26/'DECISIÓN FINAL DE CUBICAJE'!L52</f>
        <v>5494.6885666666667</v>
      </c>
      <c r="E26" s="235">
        <v>7.0000000000000001E-3</v>
      </c>
      <c r="F26" s="154">
        <f>G26*D8</f>
        <v>37979287.3728</v>
      </c>
      <c r="G26" s="180">
        <f>Q24</f>
        <v>9542.0550155268575</v>
      </c>
      <c r="H26" s="83"/>
      <c r="I26" s="176"/>
      <c r="J26" s="83"/>
      <c r="K26" s="212"/>
      <c r="O26" s="256" t="s">
        <v>247</v>
      </c>
      <c r="P26" s="258"/>
      <c r="Q26" s="147" t="s">
        <v>4</v>
      </c>
    </row>
    <row r="27" spans="1:33" x14ac:dyDescent="0.25">
      <c r="A27" s="326"/>
      <c r="B27" s="327"/>
      <c r="C27" s="43" t="s">
        <v>303</v>
      </c>
      <c r="D27" s="81">
        <f>186000/'DECISIÓN FINAL DE CUBICAJE'!L52</f>
        <v>26.909722222222221</v>
      </c>
      <c r="E27" s="181">
        <f>D27/D8</f>
        <v>6.7608969956841928E-3</v>
      </c>
      <c r="F27" s="81">
        <f>186000*8</f>
        <v>1488000</v>
      </c>
      <c r="G27" s="184">
        <f>F27/D8</f>
        <v>373.8505602733531</v>
      </c>
      <c r="H27" s="90"/>
      <c r="I27" s="189"/>
      <c r="J27" s="90"/>
      <c r="K27" s="217"/>
      <c r="O27" s="283" t="s">
        <v>249</v>
      </c>
      <c r="P27" s="283"/>
      <c r="Q27" s="233">
        <v>118</v>
      </c>
    </row>
    <row r="28" spans="1:33" x14ac:dyDescent="0.25">
      <c r="A28" s="326"/>
      <c r="B28" s="327"/>
      <c r="C28" s="1" t="s">
        <v>228</v>
      </c>
      <c r="D28" s="91">
        <f>F28/'DECISIÓN FINAL DE CUBICAJE'!L52</f>
        <v>381.05503472222222</v>
      </c>
      <c r="E28" s="182">
        <f>D28/D8</f>
        <v>9.5737660098040855E-2</v>
      </c>
      <c r="F28" s="91">
        <f>G28*D8</f>
        <v>2633852.4</v>
      </c>
      <c r="G28" s="182">
        <f>Q32</f>
        <v>661.73870659765839</v>
      </c>
      <c r="H28" s="91"/>
      <c r="I28" s="182"/>
      <c r="J28" s="91"/>
      <c r="K28" s="218"/>
      <c r="O28" s="293" t="s">
        <v>250</v>
      </c>
      <c r="P28" s="293"/>
      <c r="Q28" s="248">
        <f>535000/D8</f>
        <v>134.4153560122607</v>
      </c>
    </row>
    <row r="29" spans="1:33" x14ac:dyDescent="0.25">
      <c r="A29" s="326"/>
      <c r="B29" s="327"/>
      <c r="C29" s="78" t="s">
        <v>229</v>
      </c>
      <c r="D29" s="165">
        <f>E29*D8</f>
        <v>149.7181712962963</v>
      </c>
      <c r="E29" s="183">
        <f>260/'DECISIÓN FINAL DE CUBICAJE'!L52</f>
        <v>3.7615740740740741E-2</v>
      </c>
      <c r="F29" s="91">
        <f>G29*D8</f>
        <v>1034852</v>
      </c>
      <c r="G29" s="178">
        <f>260</f>
        <v>260</v>
      </c>
      <c r="H29" s="92"/>
      <c r="I29" s="206"/>
      <c r="J29" s="91"/>
      <c r="K29" s="219"/>
      <c r="O29" s="293" t="s">
        <v>251</v>
      </c>
      <c r="P29" s="293"/>
      <c r="Q29" s="234"/>
    </row>
    <row r="30" spans="1:33" x14ac:dyDescent="0.25">
      <c r="A30" s="326"/>
      <c r="B30" s="327"/>
      <c r="C30" s="76" t="s">
        <v>230</v>
      </c>
      <c r="D30" s="165">
        <f>E30*D8</f>
        <v>4376.3773148148148</v>
      </c>
      <c r="E30" s="180">
        <f>950/'DECISIÓN FINAL DE CUBICAJE'!O28</f>
        <v>1.099537037037037</v>
      </c>
      <c r="F30" s="91">
        <f>G30*D8</f>
        <v>30249520</v>
      </c>
      <c r="G30" s="183">
        <f>950*8</f>
        <v>7600</v>
      </c>
      <c r="H30" s="86"/>
      <c r="I30" s="177"/>
      <c r="J30" s="91"/>
      <c r="K30" s="219"/>
      <c r="O30" s="293" t="s">
        <v>252</v>
      </c>
      <c r="P30" s="293"/>
      <c r="Q30" s="234">
        <f>21.5*2*8</f>
        <v>344</v>
      </c>
    </row>
    <row r="31" spans="1:33" x14ac:dyDescent="0.25">
      <c r="A31" s="326"/>
      <c r="B31" s="327"/>
      <c r="C31" s="1" t="s">
        <v>231</v>
      </c>
      <c r="D31" s="43"/>
      <c r="E31" s="184"/>
      <c r="F31" s="91"/>
      <c r="G31" s="200"/>
      <c r="H31" s="92">
        <f>I31*D9</f>
        <v>1672.2546296296298</v>
      </c>
      <c r="I31" s="205">
        <f>K31/'DECISIÓN FINAL DE CUBICAJE'!L52</f>
        <v>0.40509259259259262</v>
      </c>
      <c r="J31" s="91">
        <f>K31*D9</f>
        <v>11558624</v>
      </c>
      <c r="K31" s="214">
        <f>350*8</f>
        <v>2800</v>
      </c>
      <c r="O31" s="293" t="s">
        <v>253</v>
      </c>
      <c r="P31" s="293"/>
      <c r="Q31" s="234">
        <f>260000/D8</f>
        <v>65.323350585397719</v>
      </c>
    </row>
    <row r="32" spans="1:33" x14ac:dyDescent="0.25">
      <c r="A32" s="326"/>
      <c r="B32" s="327"/>
      <c r="C32" s="1" t="s">
        <v>232</v>
      </c>
      <c r="D32" s="165">
        <f>E32*D8</f>
        <v>126.68460648148148</v>
      </c>
      <c r="E32" s="178">
        <f>220/'DECISIÓN FINAL DE CUBICAJE'!L52</f>
        <v>3.1828703703703706E-2</v>
      </c>
      <c r="F32" s="91">
        <f>G32*D8</f>
        <v>875644</v>
      </c>
      <c r="G32" s="178">
        <f>220</f>
        <v>220</v>
      </c>
      <c r="H32" s="90">
        <f>I32*D9</f>
        <v>131.3914351851852</v>
      </c>
      <c r="I32" s="189">
        <f>220/'DECISIÓN FINAL DE CUBICAJE'!L52</f>
        <v>3.1828703703703706E-2</v>
      </c>
      <c r="J32" s="91">
        <f>K32*D9</f>
        <v>908177.6</v>
      </c>
      <c r="K32" s="215">
        <v>220</v>
      </c>
      <c r="O32" s="293" t="s">
        <v>248</v>
      </c>
      <c r="P32" s="293"/>
      <c r="Q32" s="234">
        <f>SUM(Q27:Q31)</f>
        <v>661.73870659765839</v>
      </c>
    </row>
    <row r="33" spans="1:24" x14ac:dyDescent="0.25">
      <c r="A33" s="326"/>
      <c r="B33" s="327"/>
      <c r="C33" s="152"/>
      <c r="D33" s="93"/>
      <c r="E33" s="185"/>
      <c r="F33" s="93"/>
      <c r="G33" s="185"/>
      <c r="H33" s="93"/>
      <c r="I33" s="185"/>
      <c r="J33" s="93"/>
      <c r="K33" s="220"/>
      <c r="O33" s="80"/>
      <c r="P33" s="80"/>
      <c r="Q33" s="80"/>
    </row>
    <row r="34" spans="1:24" x14ac:dyDescent="0.25">
      <c r="A34" s="326"/>
      <c r="B34" s="327"/>
      <c r="C34" s="79" t="s">
        <v>7</v>
      </c>
      <c r="D34" s="156">
        <f>SUM(D19:D26,D28,D29,D30,D32,D17)</f>
        <v>804904.72511643509</v>
      </c>
      <c r="E34" s="178">
        <f>SUM(E19:E26,E28,E29,E30,E32,E17)</f>
        <v>200.85370030394665</v>
      </c>
      <c r="F34" s="156">
        <f>SUM(F19:F26,F28,F29,F30,F32,F17)</f>
        <v>7605984872.2047997</v>
      </c>
      <c r="G34" s="178">
        <f>SUM(G19:G26,G28,G29,G30,G32,G17)</f>
        <v>1910955.4475164062</v>
      </c>
      <c r="H34" s="94"/>
      <c r="I34" s="187"/>
      <c r="J34" s="95"/>
      <c r="K34" s="221"/>
      <c r="O34" s="256" t="s">
        <v>254</v>
      </c>
      <c r="P34" s="258"/>
      <c r="Q34" s="147" t="s">
        <v>4</v>
      </c>
    </row>
    <row r="35" spans="1:24" ht="15.75" thickBot="1" x14ac:dyDescent="0.3">
      <c r="A35" s="328"/>
      <c r="B35" s="329"/>
      <c r="C35" s="79" t="s">
        <v>8</v>
      </c>
      <c r="D35" s="172"/>
      <c r="E35" s="186"/>
      <c r="F35" s="172"/>
      <c r="G35" s="186"/>
      <c r="H35" s="96">
        <f>SUM(H19:H32)</f>
        <v>15093.993126851852</v>
      </c>
      <c r="I35" s="207">
        <f>SUM(I19:I32)</f>
        <v>3.6564197222078669</v>
      </c>
      <c r="J35" s="96">
        <f>SUM(J19:J32)</f>
        <v>653595492.9727999</v>
      </c>
      <c r="K35" s="221">
        <f>SUM(K19:K32)</f>
        <v>158329.17311990075</v>
      </c>
      <c r="O35" s="283" t="s">
        <v>249</v>
      </c>
      <c r="P35" s="283"/>
      <c r="Q35" s="233">
        <f>Q27</f>
        <v>118</v>
      </c>
    </row>
    <row r="36" spans="1:24" x14ac:dyDescent="0.25">
      <c r="A36" s="150"/>
      <c r="B36" s="75"/>
      <c r="C36" s="79" t="s">
        <v>9</v>
      </c>
      <c r="D36" s="94">
        <f>SUM(D17,D19:D32)</f>
        <v>804931.63483865722</v>
      </c>
      <c r="E36" s="187">
        <f>SUM(E17,E19:E32)</f>
        <v>200.86046120094235</v>
      </c>
      <c r="F36" s="94">
        <f>SUM(F17,F19:F32)</f>
        <v>7607472872.2047997</v>
      </c>
      <c r="G36" s="187">
        <f>SUM(G17,G19:G32)</f>
        <v>1911329.2980766792</v>
      </c>
      <c r="H36" s="94"/>
      <c r="I36" s="187"/>
      <c r="J36" s="95"/>
      <c r="K36" s="221"/>
      <c r="O36" s="293" t="s">
        <v>250</v>
      </c>
      <c r="P36" s="293"/>
      <c r="Q36" s="234">
        <f>Q28</f>
        <v>134.4153560122607</v>
      </c>
    </row>
    <row r="37" spans="1:24" x14ac:dyDescent="0.25">
      <c r="A37" s="75"/>
      <c r="B37" s="75"/>
      <c r="C37" s="29"/>
      <c r="D37" s="93"/>
      <c r="E37" s="188"/>
      <c r="F37" s="93"/>
      <c r="G37" s="185"/>
      <c r="H37" s="93"/>
      <c r="I37" s="185"/>
      <c r="J37" s="93"/>
      <c r="K37" s="215"/>
      <c r="L37" s="29"/>
      <c r="O37" s="293" t="s">
        <v>304</v>
      </c>
      <c r="P37" s="293"/>
      <c r="Q37" s="234">
        <f>D27</f>
        <v>26.909722222222221</v>
      </c>
    </row>
    <row r="38" spans="1:24" x14ac:dyDescent="0.25">
      <c r="A38" s="75"/>
      <c r="C38" s="169" t="s">
        <v>234</v>
      </c>
      <c r="D38" s="90">
        <f>E38*D8</f>
        <v>20923.690277777776</v>
      </c>
      <c r="E38" s="189">
        <f>G38/'DECISIÓN FINAL DE CUBICAJE'!L52</f>
        <v>5.2569444444444446</v>
      </c>
      <c r="F38" s="90">
        <f>G38*D8</f>
        <v>144624547.19999999</v>
      </c>
      <c r="G38" s="189">
        <f>R51</f>
        <v>36336</v>
      </c>
      <c r="H38" s="90"/>
      <c r="I38" s="189"/>
      <c r="J38" s="97"/>
      <c r="K38" s="215"/>
      <c r="L38" s="29"/>
      <c r="M38" s="153"/>
      <c r="O38" s="293" t="s">
        <v>252</v>
      </c>
      <c r="P38" s="293"/>
      <c r="Q38" s="234">
        <f>Q30</f>
        <v>344</v>
      </c>
    </row>
    <row r="39" spans="1:24" x14ac:dyDescent="0.25">
      <c r="A39" s="330" t="s">
        <v>233</v>
      </c>
      <c r="B39" s="330"/>
      <c r="C39" s="169" t="s">
        <v>235</v>
      </c>
      <c r="D39" s="98"/>
      <c r="E39" s="189"/>
      <c r="F39" s="98"/>
      <c r="G39" s="188"/>
      <c r="H39" s="90">
        <f>I39*D9</f>
        <v>11558.624000000002</v>
      </c>
      <c r="I39" s="208">
        <f>K39/'DECISIÓN FINAL DE CUBICAJE'!L52</f>
        <v>2.8000000000000003</v>
      </c>
      <c r="J39" s="90">
        <f>K39*D9</f>
        <v>79893209.088000014</v>
      </c>
      <c r="K39" s="222">
        <f>0.2*14*'DECISIÓN FINAL DE CUBICAJE'!L52</f>
        <v>19353.600000000002</v>
      </c>
      <c r="L39" s="29"/>
      <c r="M39" s="159"/>
      <c r="O39" s="293" t="s">
        <v>253</v>
      </c>
      <c r="P39" s="293"/>
      <c r="Q39" s="234">
        <f>Q31</f>
        <v>65.323350585397719</v>
      </c>
    </row>
    <row r="40" spans="1:24" x14ac:dyDescent="0.25">
      <c r="A40" s="330"/>
      <c r="B40" s="330"/>
      <c r="C40" s="169" t="s">
        <v>272</v>
      </c>
      <c r="D40" s="141">
        <f>E40*D8</f>
        <v>15439.893104813762</v>
      </c>
      <c r="E40" s="182">
        <f>G40/'DECISIÓN FINAL DE CUBICAJE'!L52</f>
        <v>3.8791751934108243</v>
      </c>
      <c r="F40" s="141">
        <f>G40*D8</f>
        <v>106720541.14047273</v>
      </c>
      <c r="G40" s="182">
        <f>Z54</f>
        <v>26812.858936855617</v>
      </c>
      <c r="H40" s="91"/>
      <c r="I40" s="182"/>
      <c r="J40" s="91"/>
      <c r="K40" s="218"/>
      <c r="L40" s="29"/>
      <c r="O40" s="293" t="s">
        <v>248</v>
      </c>
      <c r="P40" s="293"/>
      <c r="Q40" s="234">
        <f>SUM(Q35:Q39)*23%</f>
        <v>158.38913862857257</v>
      </c>
    </row>
    <row r="41" spans="1:24" ht="15" customHeight="1" x14ac:dyDescent="0.25">
      <c r="A41" s="330"/>
      <c r="B41" s="330"/>
      <c r="C41" s="169" t="s">
        <v>273</v>
      </c>
      <c r="D41" s="92"/>
      <c r="E41" s="233"/>
      <c r="F41" s="91"/>
      <c r="G41" s="233"/>
      <c r="H41" s="92">
        <f>I41*D9</f>
        <v>9120.9211100881785</v>
      </c>
      <c r="I41" s="206">
        <f>K41/'DECISIÓN FINAL DE CUBICAJE'!L52</f>
        <v>2.2094826432840882</v>
      </c>
      <c r="J41" s="99">
        <f>K41*D9</f>
        <v>63043806.712929495</v>
      </c>
      <c r="K41" s="219">
        <f>T70</f>
        <v>15271.944030379618</v>
      </c>
      <c r="L41" s="29"/>
    </row>
    <row r="42" spans="1:24" ht="15" customHeight="1" thickBot="1" x14ac:dyDescent="0.3">
      <c r="A42" s="330"/>
      <c r="B42" s="330"/>
      <c r="C42" s="29"/>
      <c r="D42" s="87"/>
      <c r="E42" s="190"/>
      <c r="F42" s="87"/>
      <c r="G42" s="190"/>
      <c r="H42" s="87"/>
      <c r="I42" s="190"/>
      <c r="J42" s="87"/>
      <c r="K42" s="223"/>
      <c r="L42" s="29"/>
    </row>
    <row r="43" spans="1:24" ht="15.75" thickBot="1" x14ac:dyDescent="0.3">
      <c r="A43" s="330"/>
      <c r="B43" s="330"/>
      <c r="C43" s="170" t="s">
        <v>10</v>
      </c>
      <c r="D43" s="100">
        <f>D36+D38</f>
        <v>825855.32511643495</v>
      </c>
      <c r="E43" s="191">
        <f>E36+E38</f>
        <v>206.11740564538681</v>
      </c>
      <c r="F43" s="101">
        <f>F36+F38</f>
        <v>7752097419.4047995</v>
      </c>
      <c r="G43" s="191">
        <f>G36+G38</f>
        <v>1947665.2980766792</v>
      </c>
      <c r="H43" s="101"/>
      <c r="I43" s="191"/>
      <c r="J43" s="101"/>
      <c r="K43" s="224"/>
      <c r="O43" s="256" t="s">
        <v>309</v>
      </c>
      <c r="P43" s="258"/>
    </row>
    <row r="44" spans="1:24" ht="15.75" thickBot="1" x14ac:dyDescent="0.3">
      <c r="A44" s="330"/>
      <c r="B44" s="330"/>
      <c r="C44" s="170" t="s">
        <v>11</v>
      </c>
      <c r="D44" s="100">
        <f>D43+D40</f>
        <v>841295.21822124871</v>
      </c>
      <c r="E44" s="191">
        <f>E43+E40</f>
        <v>209.99658083879763</v>
      </c>
      <c r="F44" s="101">
        <f>F43+F40</f>
        <v>7858817960.5452719</v>
      </c>
      <c r="G44" s="191">
        <f>G43+G40</f>
        <v>1974478.1570135348</v>
      </c>
      <c r="H44" s="101"/>
      <c r="I44" s="191"/>
      <c r="J44" s="101"/>
      <c r="K44" s="224"/>
      <c r="O44" s="1" t="s">
        <v>258</v>
      </c>
      <c r="P44" s="113">
        <v>4350</v>
      </c>
      <c r="Q44" s="29"/>
      <c r="R44" s="160"/>
      <c r="V44" s="283" t="s">
        <v>315</v>
      </c>
      <c r="W44" s="283"/>
    </row>
    <row r="45" spans="1:24" ht="15.75" thickBot="1" x14ac:dyDescent="0.3">
      <c r="A45" s="330"/>
      <c r="B45" s="330"/>
      <c r="C45" s="170" t="s">
        <v>12</v>
      </c>
      <c r="D45" s="100"/>
      <c r="E45" s="191"/>
      <c r="F45" s="101"/>
      <c r="G45" s="191"/>
      <c r="H45" s="102">
        <f>H35+H39</f>
        <v>26652.617126851852</v>
      </c>
      <c r="I45" s="102">
        <f t="shared" ref="I45:K45" si="0">I35+I39</f>
        <v>6.4564197222078672</v>
      </c>
      <c r="J45" s="102">
        <f t="shared" si="0"/>
        <v>733488702.06079996</v>
      </c>
      <c r="K45" s="102">
        <f t="shared" si="0"/>
        <v>177682.77311990075</v>
      </c>
      <c r="O45" s="1" t="s">
        <v>259</v>
      </c>
      <c r="P45" s="114">
        <v>4.0000000000000001E-3</v>
      </c>
      <c r="Q45" s="77">
        <f>P44*P45</f>
        <v>17.400000000000002</v>
      </c>
      <c r="R45" s="160"/>
      <c r="V45" s="116" t="s">
        <v>9</v>
      </c>
      <c r="W45" s="116" t="s">
        <v>263</v>
      </c>
      <c r="X45" s="116" t="s">
        <v>10</v>
      </c>
    </row>
    <row r="46" spans="1:24" ht="15.75" thickBot="1" x14ac:dyDescent="0.3">
      <c r="A46" s="330"/>
      <c r="B46" s="330"/>
      <c r="C46" s="170" t="s">
        <v>13</v>
      </c>
      <c r="D46" s="100"/>
      <c r="E46" s="191"/>
      <c r="F46" s="101"/>
      <c r="G46" s="191"/>
      <c r="H46" s="103">
        <f>H45+H41</f>
        <v>35773.538236940032</v>
      </c>
      <c r="I46" s="209">
        <f>I45+I41</f>
        <v>8.6659023654919558</v>
      </c>
      <c r="J46" s="103">
        <f>J45+J41</f>
        <v>796532508.77372944</v>
      </c>
      <c r="K46" s="226">
        <f>K45+K41</f>
        <v>192954.71715028037</v>
      </c>
      <c r="O46" s="1" t="s">
        <v>3</v>
      </c>
      <c r="P46" s="114">
        <v>6.0000000000000001E-3</v>
      </c>
      <c r="Q46" s="77">
        <f>P44*P46</f>
        <v>26.1</v>
      </c>
      <c r="R46" s="160"/>
      <c r="V46" s="77">
        <f>G36</f>
        <v>1911329.2980766792</v>
      </c>
      <c r="W46" s="77">
        <f>R51</f>
        <v>36336</v>
      </c>
      <c r="X46" s="77">
        <f>V46+W46</f>
        <v>1947665.2980766792</v>
      </c>
    </row>
    <row r="47" spans="1:24" ht="15.75" thickBot="1" x14ac:dyDescent="0.3">
      <c r="A47" s="330"/>
      <c r="B47" s="330"/>
      <c r="C47" s="29"/>
      <c r="D47" s="87"/>
      <c r="E47" s="190"/>
      <c r="F47" s="87"/>
      <c r="G47" s="201"/>
      <c r="H47" s="87"/>
      <c r="I47" s="190"/>
      <c r="J47" s="87"/>
      <c r="K47" s="223"/>
      <c r="O47" s="1" t="s">
        <v>260</v>
      </c>
      <c r="P47" s="114">
        <v>4.0000000000000001E-3</v>
      </c>
      <c r="Q47" s="77">
        <f>P44*P47</f>
        <v>17.400000000000002</v>
      </c>
      <c r="R47" s="160"/>
      <c r="V47" s="29"/>
      <c r="W47" s="116" t="s">
        <v>264</v>
      </c>
      <c r="X47" s="118" t="s">
        <v>265</v>
      </c>
    </row>
    <row r="48" spans="1:24" x14ac:dyDescent="0.25">
      <c r="A48" s="167"/>
      <c r="B48" s="75"/>
      <c r="C48" s="237" t="s">
        <v>238</v>
      </c>
      <c r="D48" s="162">
        <f>F48/'DECISIÓN FINAL DE CUBICAJE'!L52</f>
        <v>91.206662264097872</v>
      </c>
      <c r="E48" s="192">
        <f>D48/D8</f>
        <v>2.2915095287698577E-2</v>
      </c>
      <c r="F48" s="105">
        <f>G48*D8</f>
        <v>630420.44956944452</v>
      </c>
      <c r="G48" s="202">
        <f>Q40</f>
        <v>158.38913862857257</v>
      </c>
      <c r="H48" s="105"/>
      <c r="I48" s="202"/>
      <c r="J48" s="105"/>
      <c r="K48" s="227"/>
      <c r="O48" s="1" t="s">
        <v>261</v>
      </c>
      <c r="P48" s="114">
        <v>6.0000000000000001E-3</v>
      </c>
      <c r="Q48" s="77">
        <f>P44*P48</f>
        <v>26.1</v>
      </c>
      <c r="R48" s="160"/>
      <c r="U48" s="29"/>
      <c r="W48" s="117">
        <v>0.81</v>
      </c>
      <c r="X48" s="77">
        <f>X46/W48</f>
        <v>2404525.0593539248</v>
      </c>
    </row>
    <row r="49" spans="1:26" x14ac:dyDescent="0.25">
      <c r="A49" s="330" t="s">
        <v>237</v>
      </c>
      <c r="B49" s="330"/>
      <c r="C49" s="168" t="s">
        <v>236</v>
      </c>
      <c r="D49" s="156"/>
      <c r="E49" s="178"/>
      <c r="F49" s="90"/>
      <c r="G49" s="189"/>
      <c r="H49" s="90">
        <f>I49*D9</f>
        <v>949458.4</v>
      </c>
      <c r="I49" s="189">
        <v>230</v>
      </c>
      <c r="J49" s="90">
        <f>K49*D9</f>
        <v>7595667.2000000002</v>
      </c>
      <c r="K49" s="215">
        <f>230*8</f>
        <v>1840</v>
      </c>
      <c r="O49" s="1" t="s">
        <v>262</v>
      </c>
      <c r="P49" s="1">
        <v>105</v>
      </c>
      <c r="Q49" s="77">
        <f>P49</f>
        <v>105</v>
      </c>
      <c r="R49" s="160"/>
      <c r="W49" s="1">
        <v>0.81</v>
      </c>
    </row>
    <row r="50" spans="1:26" ht="15.75" thickBot="1" x14ac:dyDescent="0.3">
      <c r="A50" s="330"/>
      <c r="B50" s="330"/>
      <c r="C50" s="169" t="s">
        <v>239</v>
      </c>
      <c r="D50" s="156">
        <f>E50*D8</f>
        <v>172.75173611111109</v>
      </c>
      <c r="E50" s="178">
        <f>300/'DECISIÓN FINAL DE CUBICAJE'!L52</f>
        <v>4.3402777777777776E-2</v>
      </c>
      <c r="F50" s="90">
        <f>G50*D8</f>
        <v>1194060</v>
      </c>
      <c r="G50" s="189">
        <f>300</f>
        <v>300</v>
      </c>
      <c r="H50" s="89"/>
      <c r="I50" s="177"/>
      <c r="J50" s="86"/>
      <c r="K50" s="213"/>
      <c r="O50" s="256" t="s">
        <v>248</v>
      </c>
      <c r="P50" s="258"/>
      <c r="Q50" s="77">
        <f>SUM(Q45:Q49)</f>
        <v>192</v>
      </c>
      <c r="R50" s="147" t="s">
        <v>271</v>
      </c>
    </row>
    <row r="51" spans="1:26" ht="15.75" thickBot="1" x14ac:dyDescent="0.3">
      <c r="A51" s="330"/>
      <c r="B51" s="330"/>
      <c r="C51" s="168" t="s">
        <v>240</v>
      </c>
      <c r="D51" s="156">
        <f>E51*D8</f>
        <v>18.906717785493829</v>
      </c>
      <c r="E51" s="198">
        <f>G51/'DECISIÓN FINAL DE CUBICAJE'!L52</f>
        <v>4.7501929012345682E-3</v>
      </c>
      <c r="F51" s="156">
        <f>G51*D8</f>
        <v>130683.23333333334</v>
      </c>
      <c r="G51" s="180">
        <f>985/60*2</f>
        <v>32.833333333333336</v>
      </c>
      <c r="H51" s="157">
        <f>I51*D9</f>
        <v>9.8045881558641987</v>
      </c>
      <c r="I51" s="211">
        <f>985/120*2/'DECISIÓN FINAL DE CUBICAJE'!L52</f>
        <v>2.3750964506172841E-3</v>
      </c>
      <c r="J51" s="158">
        <f>K51*D9</f>
        <v>4066158.8</v>
      </c>
      <c r="K51" s="228">
        <v>985</v>
      </c>
      <c r="Q51" s="81">
        <f>Q50+P44</f>
        <v>4542</v>
      </c>
      <c r="R51" s="81">
        <f>Q51*8</f>
        <v>36336</v>
      </c>
      <c r="V51" s="283" t="s">
        <v>310</v>
      </c>
      <c r="W51" s="283"/>
    </row>
    <row r="52" spans="1:26" x14ac:dyDescent="0.25">
      <c r="A52" s="330"/>
      <c r="B52" s="330"/>
      <c r="C52" s="169" t="s">
        <v>241</v>
      </c>
      <c r="D52" s="162">
        <f>D44*20%</f>
        <v>168259.04364424976</v>
      </c>
      <c r="E52" s="193">
        <f>E44*20%</f>
        <v>41.999316167759531</v>
      </c>
      <c r="F52" s="104">
        <f>F44*20%</f>
        <v>1571763592.1090546</v>
      </c>
      <c r="G52" s="203">
        <f>G44*20%</f>
        <v>394895.63140270696</v>
      </c>
      <c r="H52" s="86">
        <f>H46*20%</f>
        <v>7154.707647388007</v>
      </c>
      <c r="I52" s="210">
        <f t="shared" ref="I52:J52" si="1">I46*20%</f>
        <v>1.7331804730983913</v>
      </c>
      <c r="J52" s="86">
        <f t="shared" si="1"/>
        <v>159306501.7547459</v>
      </c>
      <c r="K52" s="210">
        <f>K46*20%</f>
        <v>38590.943430056075</v>
      </c>
      <c r="U52" s="147" t="s">
        <v>267</v>
      </c>
      <c r="V52" s="147" t="s">
        <v>268</v>
      </c>
      <c r="W52" s="147" t="s">
        <v>269</v>
      </c>
      <c r="X52" s="147" t="s">
        <v>306</v>
      </c>
      <c r="Y52" s="1"/>
    </row>
    <row r="53" spans="1:26" x14ac:dyDescent="0.25">
      <c r="A53" s="330"/>
      <c r="B53" s="330"/>
      <c r="C53" s="169" t="s">
        <v>242</v>
      </c>
      <c r="D53" s="154">
        <f>E53*D8</f>
        <v>1122.8862847222222</v>
      </c>
      <c r="E53" s="180">
        <f>G53/'DECISIÓN FINAL DE CUBICAJE'!L52</f>
        <v>0.28211805555555558</v>
      </c>
      <c r="F53" s="90">
        <f>G53*D8</f>
        <v>7761390</v>
      </c>
      <c r="G53" s="177">
        <v>1950</v>
      </c>
      <c r="H53" s="86">
        <f>I53*D9</f>
        <v>567.37210648148141</v>
      </c>
      <c r="I53" s="177">
        <f>950/'DECISIÓN FINAL DE CUBICAJE'!L52</f>
        <v>0.13744212962962962</v>
      </c>
      <c r="J53" s="86">
        <f>K53*D9</f>
        <v>3921676</v>
      </c>
      <c r="K53" s="213">
        <v>950</v>
      </c>
      <c r="T53" s="147" t="s">
        <v>266</v>
      </c>
      <c r="U53" s="114">
        <v>8.9999999999999993E-3</v>
      </c>
      <c r="V53" s="117">
        <v>0.05</v>
      </c>
      <c r="W53" s="117">
        <v>0.18</v>
      </c>
      <c r="X53" s="77">
        <f>U54+V54</f>
        <v>22722.76181089459</v>
      </c>
      <c r="Y53" s="77">
        <f>U54+V54</f>
        <v>22722.76181089459</v>
      </c>
      <c r="Z53" s="147" t="s">
        <v>305</v>
      </c>
    </row>
    <row r="54" spans="1:26" x14ac:dyDescent="0.25">
      <c r="A54" s="330"/>
      <c r="B54" s="330"/>
      <c r="C54" s="168" t="s">
        <v>243</v>
      </c>
      <c r="D54" s="154">
        <f>E54*D8</f>
        <v>109.40943287037037</v>
      </c>
      <c r="E54" s="180">
        <f>190/'DECISIÓN FINAL DE CUBICAJE'!L52</f>
        <v>2.7488425925925927E-2</v>
      </c>
      <c r="F54" s="90">
        <f>G54*D8</f>
        <v>756238</v>
      </c>
      <c r="G54" s="177">
        <v>190</v>
      </c>
      <c r="H54" s="86"/>
      <c r="I54" s="177"/>
      <c r="J54" s="86"/>
      <c r="K54" s="213"/>
      <c r="T54" s="77">
        <f>X48</f>
        <v>2404525.0593539248</v>
      </c>
      <c r="U54" s="77">
        <f>T54*U53</f>
        <v>21640.725534185323</v>
      </c>
      <c r="V54" s="119">
        <f>U54*V53</f>
        <v>1082.0362767092663</v>
      </c>
      <c r="W54" s="1">
        <v>0.18</v>
      </c>
      <c r="X54" s="1" t="s">
        <v>270</v>
      </c>
      <c r="Y54" s="77">
        <f>Y53*W53</f>
        <v>4090.097125961026</v>
      </c>
      <c r="Z54" s="113">
        <f>Y53+Y54</f>
        <v>26812.858936855617</v>
      </c>
    </row>
    <row r="55" spans="1:26" x14ac:dyDescent="0.25">
      <c r="A55" s="330"/>
      <c r="B55" s="330"/>
      <c r="C55" s="169" t="s">
        <v>244</v>
      </c>
      <c r="D55" s="154">
        <f>D44*8%</f>
        <v>67303.617457699904</v>
      </c>
      <c r="E55" s="194">
        <f>E44*8%</f>
        <v>16.79972646710381</v>
      </c>
      <c r="F55" s="89">
        <f>F44*8%</f>
        <v>628705436.84362173</v>
      </c>
      <c r="G55" s="204">
        <f>G44*8%</f>
        <v>157958.2525610828</v>
      </c>
      <c r="H55" s="86">
        <f>H45*8%</f>
        <v>2132.2093701481481</v>
      </c>
      <c r="I55" s="210">
        <f>I45*8%</f>
        <v>0.51651357777662943</v>
      </c>
      <c r="J55" s="86">
        <f>J45*8%</f>
        <v>58679096.164863996</v>
      </c>
      <c r="K55" s="229">
        <f>K45*8%</f>
        <v>14214.62184959206</v>
      </c>
    </row>
    <row r="56" spans="1:26" ht="15.75" thickBot="1" x14ac:dyDescent="0.3">
      <c r="A56" s="330"/>
      <c r="B56" s="330"/>
      <c r="C56" s="43" t="s">
        <v>308</v>
      </c>
      <c r="D56" s="106">
        <f>F56/'DECISIÓN FINAL DE CUBICAJE'!L52</f>
        <v>56077.093601018518</v>
      </c>
      <c r="E56" s="238">
        <v>0.05</v>
      </c>
      <c r="F56" s="88">
        <f>F43*E56</f>
        <v>387604870.97024</v>
      </c>
      <c r="G56" s="240">
        <f>G43*E56</f>
        <v>97383.264903833973</v>
      </c>
      <c r="H56" s="88">
        <f>H45*E56</f>
        <v>1332.6308563425928</v>
      </c>
      <c r="I56" s="239">
        <f>I45*E56</f>
        <v>0.32282098611039339</v>
      </c>
      <c r="J56" s="88">
        <f>J45*E56</f>
        <v>36674435.103040002</v>
      </c>
      <c r="K56" s="239">
        <f>K45*E56</f>
        <v>8884.1386559950388</v>
      </c>
      <c r="O56" s="149"/>
      <c r="P56" s="331" t="s">
        <v>314</v>
      </c>
      <c r="Q56" s="331"/>
    </row>
    <row r="57" spans="1:26" ht="15.75" thickBot="1" x14ac:dyDescent="0.3">
      <c r="A57" s="330"/>
      <c r="B57" s="330"/>
      <c r="C57" s="171"/>
      <c r="D57" s="241"/>
      <c r="E57" s="242"/>
      <c r="F57" s="241"/>
      <c r="G57" s="243"/>
      <c r="H57" s="241"/>
      <c r="I57" s="241"/>
      <c r="J57" s="241"/>
      <c r="K57" s="241"/>
      <c r="N57" s="29"/>
      <c r="O57" s="29"/>
      <c r="P57" s="115" t="s">
        <v>8</v>
      </c>
      <c r="Q57" s="116" t="s">
        <v>263</v>
      </c>
    </row>
    <row r="58" spans="1:26" ht="15.75" customHeight="1" thickBot="1" x14ac:dyDescent="0.3">
      <c r="A58" s="330"/>
      <c r="B58" s="330"/>
      <c r="C58" s="170" t="s">
        <v>14</v>
      </c>
      <c r="D58" s="173">
        <f t="shared" ref="D58:K58" si="2">SUM(D19:D32,D38:D41,D48)</f>
        <v>61267.224883513045</v>
      </c>
      <c r="E58" s="196">
        <f t="shared" si="2"/>
        <v>14.019495934085318</v>
      </c>
      <c r="F58" s="173">
        <f t="shared" si="2"/>
        <v>2467264470.594842</v>
      </c>
      <c r="G58" s="196">
        <f t="shared" si="2"/>
        <v>619884.54615216376</v>
      </c>
      <c r="H58" s="173">
        <f t="shared" si="2"/>
        <v>35773.538236940032</v>
      </c>
      <c r="I58" s="196">
        <f t="shared" si="2"/>
        <v>8.6659023654919558</v>
      </c>
      <c r="J58" s="173">
        <f t="shared" si="2"/>
        <v>796532508.77372944</v>
      </c>
      <c r="K58" s="230">
        <f t="shared" si="2"/>
        <v>192954.71715028037</v>
      </c>
      <c r="N58" s="149"/>
      <c r="O58" s="29"/>
      <c r="P58" s="77">
        <f>K35</f>
        <v>158329.17311990075</v>
      </c>
      <c r="Q58" s="77">
        <f>K39</f>
        <v>19353.600000000002</v>
      </c>
      <c r="R58" s="116" t="s">
        <v>12</v>
      </c>
    </row>
    <row r="59" spans="1:26" ht="15" customHeight="1" thickBot="1" x14ac:dyDescent="0.3">
      <c r="A59" s="330"/>
      <c r="B59" s="330"/>
      <c r="C59" s="170" t="s">
        <v>15</v>
      </c>
      <c r="D59" s="173">
        <f t="shared" ref="D59:K59" si="3">SUM(D19:D32,D38:D40,D48:D50,D53)</f>
        <v>62562.862904346373</v>
      </c>
      <c r="E59" s="196">
        <f t="shared" si="3"/>
        <v>14.345016767418652</v>
      </c>
      <c r="F59" s="173">
        <f t="shared" si="3"/>
        <v>2476219920.594842</v>
      </c>
      <c r="G59" s="196">
        <f t="shared" si="3"/>
        <v>622134.54615216376</v>
      </c>
      <c r="H59" s="173">
        <f t="shared" si="3"/>
        <v>976678.38923333329</v>
      </c>
      <c r="I59" s="196">
        <f t="shared" si="3"/>
        <v>236.59386185183749</v>
      </c>
      <c r="J59" s="173">
        <f t="shared" si="3"/>
        <v>745006045.2608</v>
      </c>
      <c r="K59" s="230">
        <f t="shared" si="3"/>
        <v>180472.77311990075</v>
      </c>
      <c r="N59" s="29"/>
      <c r="Q59" s="148" t="s">
        <v>264</v>
      </c>
      <c r="R59" s="77">
        <f>P58+Q58</f>
        <v>177682.77311990075</v>
      </c>
    </row>
    <row r="60" spans="1:26" ht="15.75" thickBot="1" x14ac:dyDescent="0.3">
      <c r="A60" s="330"/>
      <c r="B60" s="330"/>
      <c r="C60" s="79" t="s">
        <v>16</v>
      </c>
      <c r="D60" s="173">
        <f t="shared" ref="D60:K60" si="4">SUM(D19:D32,D38:D41,D48:D56)</f>
        <v>354330.93375797046</v>
      </c>
      <c r="E60" s="196">
        <f t="shared" si="4"/>
        <v>73.226298021109145</v>
      </c>
      <c r="F60" s="173">
        <f t="shared" si="4"/>
        <v>5065180741.751091</v>
      </c>
      <c r="G60" s="196">
        <f t="shared" si="4"/>
        <v>1272594.5283531207</v>
      </c>
      <c r="H60" s="173">
        <f t="shared" si="4"/>
        <v>996428.66280545609</v>
      </c>
      <c r="I60" s="196">
        <f t="shared" si="4"/>
        <v>241.37823462855761</v>
      </c>
      <c r="J60" s="173">
        <f t="shared" si="4"/>
        <v>1066776043.7963792</v>
      </c>
      <c r="K60" s="230">
        <f t="shared" si="4"/>
        <v>258419.42108592353</v>
      </c>
      <c r="Q60" s="1">
        <v>0.81</v>
      </c>
      <c r="R60" s="118" t="s">
        <v>265</v>
      </c>
    </row>
    <row r="61" spans="1:26" x14ac:dyDescent="0.25">
      <c r="A61" s="167"/>
      <c r="B61" s="167"/>
      <c r="O61" s="121"/>
      <c r="Q61" s="117">
        <v>0.81</v>
      </c>
      <c r="R61" s="77">
        <f>R59/Q60</f>
        <v>219361.44829617377</v>
      </c>
    </row>
    <row r="62" spans="1:26" x14ac:dyDescent="0.25">
      <c r="A62" s="167"/>
      <c r="B62" s="167"/>
      <c r="L62" s="80"/>
      <c r="M62" s="80"/>
      <c r="N62" s="29"/>
      <c r="O62" s="29"/>
    </row>
    <row r="63" spans="1:26" x14ac:dyDescent="0.25">
      <c r="A63" s="167"/>
      <c r="B63" s="167"/>
      <c r="N63" s="29"/>
      <c r="O63" s="29"/>
    </row>
    <row r="64" spans="1:26" x14ac:dyDescent="0.25">
      <c r="A64" s="167"/>
      <c r="B64" s="167"/>
      <c r="N64" s="29"/>
    </row>
    <row r="65" spans="1:20" x14ac:dyDescent="0.25">
      <c r="A65" s="167"/>
      <c r="B65" s="167"/>
      <c r="N65" s="29"/>
    </row>
    <row r="66" spans="1:20" x14ac:dyDescent="0.25">
      <c r="A66" s="167"/>
      <c r="B66" s="167"/>
      <c r="P66" s="283" t="s">
        <v>311</v>
      </c>
      <c r="Q66" s="283"/>
    </row>
    <row r="67" spans="1:20" x14ac:dyDescent="0.25">
      <c r="A67" s="167"/>
      <c r="B67" s="167"/>
      <c r="O67" s="147" t="s">
        <v>267</v>
      </c>
      <c r="P67" s="147" t="s">
        <v>268</v>
      </c>
      <c r="Q67" s="147" t="s">
        <v>269</v>
      </c>
    </row>
    <row r="68" spans="1:20" x14ac:dyDescent="0.25">
      <c r="A68" s="167"/>
      <c r="B68" s="167"/>
      <c r="O68" s="114">
        <v>8.9999999999999993E-3</v>
      </c>
      <c r="P68" s="117">
        <v>0.05</v>
      </c>
      <c r="Q68" s="117">
        <v>0.18</v>
      </c>
      <c r="R68" s="147" t="s">
        <v>306</v>
      </c>
      <c r="S68" s="1"/>
    </row>
    <row r="69" spans="1:20" x14ac:dyDescent="0.25">
      <c r="A69" s="167"/>
      <c r="B69" s="167"/>
      <c r="N69" s="147" t="s">
        <v>266</v>
      </c>
      <c r="O69" s="120">
        <f>N70*O68</f>
        <v>1974.2530346655637</v>
      </c>
      <c r="P69" s="119">
        <f>N70*P68</f>
        <v>10968.072414808688</v>
      </c>
      <c r="Q69" s="1">
        <v>0.18</v>
      </c>
      <c r="R69" s="77">
        <f>O69+P69</f>
        <v>12942.325449474252</v>
      </c>
      <c r="S69" s="120">
        <f>O69+P69</f>
        <v>12942.325449474252</v>
      </c>
      <c r="T69" s="147" t="s">
        <v>305</v>
      </c>
    </row>
    <row r="70" spans="1:20" x14ac:dyDescent="0.25">
      <c r="A70" s="167"/>
      <c r="B70" s="167"/>
      <c r="N70" s="119">
        <f>R61</f>
        <v>219361.44829617377</v>
      </c>
      <c r="R70" s="1" t="s">
        <v>270</v>
      </c>
      <c r="S70" s="120">
        <f>S69*Q68</f>
        <v>2329.6185809053654</v>
      </c>
      <c r="T70" s="113">
        <f>S69+S70</f>
        <v>15271.944030379618</v>
      </c>
    </row>
    <row r="71" spans="1:20" x14ac:dyDescent="0.25">
      <c r="A71" s="167"/>
      <c r="B71" s="167"/>
    </row>
    <row r="72" spans="1:20" x14ac:dyDescent="0.25">
      <c r="A72" s="167"/>
      <c r="B72" s="167"/>
    </row>
    <row r="73" spans="1:20" x14ac:dyDescent="0.25">
      <c r="A73" s="167"/>
      <c r="B73" s="167"/>
    </row>
    <row r="74" spans="1:20" x14ac:dyDescent="0.25">
      <c r="A74" s="167"/>
      <c r="B74" s="167"/>
    </row>
    <row r="75" spans="1:20" x14ac:dyDescent="0.25">
      <c r="A75" s="167"/>
      <c r="B75" s="167"/>
    </row>
    <row r="76" spans="1:20" x14ac:dyDescent="0.25">
      <c r="A76" s="166"/>
      <c r="M76" s="29"/>
    </row>
    <row r="77" spans="1:20" x14ac:dyDescent="0.25">
      <c r="A77" s="166"/>
      <c r="M77" s="29"/>
    </row>
    <row r="78" spans="1:20" x14ac:dyDescent="0.25">
      <c r="A78" s="167"/>
      <c r="M78" s="29"/>
    </row>
    <row r="79" spans="1:20" x14ac:dyDescent="0.25">
      <c r="A79" s="66"/>
      <c r="B79" s="66"/>
    </row>
    <row r="80" spans="1:20" x14ac:dyDescent="0.25">
      <c r="A80" s="66"/>
      <c r="B80" s="66"/>
    </row>
    <row r="81" spans="1:20" x14ac:dyDescent="0.25">
      <c r="A81" s="66"/>
      <c r="B81" s="66"/>
    </row>
    <row r="82" spans="1:20" x14ac:dyDescent="0.25">
      <c r="A82" s="66"/>
      <c r="B82" s="66"/>
    </row>
    <row r="85" spans="1:20" x14ac:dyDescent="0.25">
      <c r="N85" s="29"/>
      <c r="T85" s="236"/>
    </row>
  </sheetData>
  <mergeCells count="45">
    <mergeCell ref="V44:W44"/>
    <mergeCell ref="A49:B60"/>
    <mergeCell ref="O50:P50"/>
    <mergeCell ref="V51:W51"/>
    <mergeCell ref="P56:Q56"/>
    <mergeCell ref="A19:B35"/>
    <mergeCell ref="O19:P19"/>
    <mergeCell ref="O26:P26"/>
    <mergeCell ref="O34:P34"/>
    <mergeCell ref="A39:B47"/>
    <mergeCell ref="O43:P43"/>
    <mergeCell ref="O31:P31"/>
    <mergeCell ref="O32:P32"/>
    <mergeCell ref="O36:P36"/>
    <mergeCell ref="O35:P35"/>
    <mergeCell ref="O24:P24"/>
    <mergeCell ref="O28:P28"/>
    <mergeCell ref="O29:P29"/>
    <mergeCell ref="O30:P30"/>
    <mergeCell ref="O27:P27"/>
    <mergeCell ref="O20:P20"/>
    <mergeCell ref="P66:Q66"/>
    <mergeCell ref="O37:P37"/>
    <mergeCell ref="O38:P38"/>
    <mergeCell ref="O39:P39"/>
    <mergeCell ref="O40:P40"/>
    <mergeCell ref="C2:F2"/>
    <mergeCell ref="D3:F3"/>
    <mergeCell ref="D4:F4"/>
    <mergeCell ref="D5:F5"/>
    <mergeCell ref="D6:F6"/>
    <mergeCell ref="J15:K15"/>
    <mergeCell ref="O21:P21"/>
    <mergeCell ref="O22:P22"/>
    <mergeCell ref="O23:P23"/>
    <mergeCell ref="D7:F7"/>
    <mergeCell ref="D8:F8"/>
    <mergeCell ref="D9:F9"/>
    <mergeCell ref="C12:K13"/>
    <mergeCell ref="C14:C16"/>
    <mergeCell ref="D14:G14"/>
    <mergeCell ref="H14:K14"/>
    <mergeCell ref="D15:E15"/>
    <mergeCell ref="F15:G15"/>
    <mergeCell ref="H15:I15"/>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tint="-0.499984740745262"/>
  </sheetPr>
  <dimension ref="A1:AY85"/>
  <sheetViews>
    <sheetView tabSelected="1" topLeftCell="A28" zoomScale="73" zoomScaleNormal="73" workbookViewId="0">
      <selection activeCell="H48" sqref="H48"/>
    </sheetView>
  </sheetViews>
  <sheetFormatPr baseColWidth="10" defaultRowHeight="15" x14ac:dyDescent="0.25"/>
  <cols>
    <col min="3" max="3" width="34.140625" customWidth="1"/>
    <col min="4" max="4" width="26.5703125" customWidth="1"/>
    <col min="5" max="5" width="21.5703125" customWidth="1"/>
    <col min="6" max="6" width="31.7109375" customWidth="1"/>
    <col min="7" max="7" width="27.140625" customWidth="1"/>
    <col min="8" max="8" width="24.42578125" customWidth="1"/>
    <col min="9" max="9" width="18.7109375" customWidth="1"/>
    <col min="10" max="10" width="26.5703125" customWidth="1"/>
    <col min="11" max="11" width="20.5703125" customWidth="1"/>
    <col min="14" max="14" width="17.7109375" customWidth="1"/>
    <col min="15" max="15" width="18" customWidth="1"/>
    <col min="16" max="16" width="22" customWidth="1"/>
    <col min="17" max="17" width="22.5703125" customWidth="1"/>
    <col min="18" max="18" width="21.28515625" customWidth="1"/>
    <col min="19" max="19" width="22.7109375" customWidth="1"/>
    <col min="20" max="20" width="20.7109375" customWidth="1"/>
    <col min="21" max="21" width="16.28515625" customWidth="1"/>
    <col min="22" max="22" width="19.85546875" customWidth="1"/>
    <col min="23" max="23" width="17.85546875" customWidth="1"/>
    <col min="24" max="24" width="20.42578125" customWidth="1"/>
    <col min="25" max="25" width="16.140625" customWidth="1"/>
    <col min="26" max="26" width="20.28515625" customWidth="1"/>
  </cols>
  <sheetData>
    <row r="1" spans="1:11" ht="15.75" thickBot="1" x14ac:dyDescent="0.3">
      <c r="A1" s="66"/>
      <c r="B1" s="66"/>
      <c r="C1" s="1"/>
    </row>
    <row r="2" spans="1:11" x14ac:dyDescent="0.25">
      <c r="A2" s="66"/>
      <c r="B2" s="66"/>
      <c r="C2" s="315" t="s">
        <v>214</v>
      </c>
      <c r="D2" s="316"/>
      <c r="E2" s="316"/>
      <c r="F2" s="317"/>
    </row>
    <row r="3" spans="1:11" x14ac:dyDescent="0.25">
      <c r="A3" s="66"/>
      <c r="B3" s="66"/>
      <c r="C3" s="1"/>
      <c r="D3" s="364"/>
      <c r="E3" s="364"/>
      <c r="F3" s="365"/>
    </row>
    <row r="4" spans="1:11" x14ac:dyDescent="0.25">
      <c r="A4" s="66"/>
      <c r="B4" s="66"/>
      <c r="C4" s="1"/>
      <c r="D4" s="364"/>
      <c r="E4" s="364"/>
      <c r="F4" s="365"/>
    </row>
    <row r="5" spans="1:11" x14ac:dyDescent="0.25">
      <c r="A5" s="66"/>
      <c r="B5" s="66"/>
      <c r="C5" s="1"/>
      <c r="D5" s="366"/>
      <c r="E5" s="367"/>
      <c r="F5" s="368"/>
    </row>
    <row r="6" spans="1:11" x14ac:dyDescent="0.25">
      <c r="A6" s="66"/>
      <c r="B6" s="66"/>
      <c r="C6" s="1"/>
      <c r="D6" s="369"/>
      <c r="E6" s="370"/>
      <c r="F6" s="371"/>
    </row>
    <row r="7" spans="1:11" x14ac:dyDescent="0.25">
      <c r="A7" s="66"/>
      <c r="B7" s="66"/>
      <c r="C7" s="1"/>
      <c r="D7" s="361"/>
      <c r="E7" s="362"/>
      <c r="F7" s="363"/>
    </row>
    <row r="8" spans="1:11" x14ac:dyDescent="0.25">
      <c r="A8" s="66"/>
      <c r="B8" s="66"/>
      <c r="C8" s="1" t="s">
        <v>256</v>
      </c>
      <c r="D8" s="359">
        <f>'LINEA DE TIEMPO MARITIMA'!AK164</f>
        <v>4007.44</v>
      </c>
      <c r="E8" s="359"/>
      <c r="F8" s="360"/>
    </row>
    <row r="9" spans="1:11" ht="15.75" thickBot="1" x14ac:dyDescent="0.3">
      <c r="A9" s="66"/>
      <c r="B9" s="66"/>
      <c r="C9" s="1" t="s">
        <v>257</v>
      </c>
      <c r="D9" s="320">
        <f>'LINEA DE TIEMPO AEREA'!Y209</f>
        <v>4089.3</v>
      </c>
      <c r="E9" s="320"/>
      <c r="F9" s="321"/>
    </row>
    <row r="10" spans="1:11" x14ac:dyDescent="0.25">
      <c r="A10" s="66"/>
      <c r="B10" s="66"/>
      <c r="C10" s="29"/>
    </row>
    <row r="11" spans="1:11" x14ac:dyDescent="0.25">
      <c r="A11" s="66"/>
      <c r="B11" s="66"/>
      <c r="C11" s="29"/>
    </row>
    <row r="12" spans="1:11" x14ac:dyDescent="0.25">
      <c r="A12" s="66"/>
      <c r="B12" s="66"/>
      <c r="C12" s="358" t="s">
        <v>215</v>
      </c>
      <c r="D12" s="358"/>
      <c r="E12" s="358"/>
      <c r="F12" s="358"/>
      <c r="G12" s="358"/>
      <c r="H12" s="358"/>
      <c r="I12" s="358"/>
      <c r="J12" s="358"/>
      <c r="K12" s="358"/>
    </row>
    <row r="13" spans="1:11" x14ac:dyDescent="0.25">
      <c r="A13" s="66"/>
      <c r="B13" s="66"/>
      <c r="C13" s="358"/>
      <c r="D13" s="358"/>
      <c r="E13" s="358"/>
      <c r="F13" s="358"/>
      <c r="G13" s="358"/>
      <c r="H13" s="358"/>
      <c r="I13" s="358"/>
      <c r="J13" s="358"/>
      <c r="K13" s="358"/>
    </row>
    <row r="14" spans="1:11" ht="15.75" thickBot="1" x14ac:dyDescent="0.3">
      <c r="A14" s="66"/>
      <c r="B14" s="66"/>
      <c r="C14" s="357" t="s">
        <v>0</v>
      </c>
      <c r="D14" s="352" t="s">
        <v>1</v>
      </c>
      <c r="E14" s="353"/>
      <c r="F14" s="353"/>
      <c r="G14" s="353"/>
      <c r="H14" s="352" t="s">
        <v>5</v>
      </c>
      <c r="I14" s="353"/>
      <c r="J14" s="353"/>
      <c r="K14" s="353"/>
    </row>
    <row r="15" spans="1:11" x14ac:dyDescent="0.25">
      <c r="A15" s="66"/>
      <c r="B15" s="66"/>
      <c r="C15" s="358"/>
      <c r="D15" s="350" t="s">
        <v>216</v>
      </c>
      <c r="E15" s="351"/>
      <c r="F15" s="341" t="s">
        <v>217</v>
      </c>
      <c r="G15" s="342"/>
      <c r="H15" s="341" t="s">
        <v>216</v>
      </c>
      <c r="I15" s="342"/>
      <c r="J15" s="349" t="s">
        <v>2</v>
      </c>
      <c r="K15" s="342"/>
    </row>
    <row r="16" spans="1:11" ht="15.75" thickBot="1" x14ac:dyDescent="0.3">
      <c r="A16" s="66"/>
      <c r="B16" s="66"/>
      <c r="C16" s="358"/>
      <c r="D16" s="67" t="s">
        <v>3</v>
      </c>
      <c r="E16" s="68" t="s">
        <v>4</v>
      </c>
      <c r="F16" s="69" t="s">
        <v>3</v>
      </c>
      <c r="G16" s="68" t="s">
        <v>4</v>
      </c>
      <c r="H16" s="69" t="s">
        <v>3</v>
      </c>
      <c r="I16" s="139" t="s">
        <v>4</v>
      </c>
      <c r="J16" s="67" t="s">
        <v>3</v>
      </c>
      <c r="K16" s="68" t="s">
        <v>4</v>
      </c>
    </row>
    <row r="17" spans="1:50" ht="15.75" thickBot="1" x14ac:dyDescent="0.3">
      <c r="A17" s="66"/>
      <c r="B17" s="66"/>
      <c r="C17" s="155" t="s">
        <v>6</v>
      </c>
      <c r="D17" s="70">
        <f>E17*D8</f>
        <v>785458.24</v>
      </c>
      <c r="E17" s="174">
        <f>3.5*56</f>
        <v>196</v>
      </c>
      <c r="F17" s="71">
        <f>G17*D8</f>
        <v>4750451435.5200005</v>
      </c>
      <c r="G17" s="174">
        <f>'DECISIÓN FINAL DE CUBICAJE'!P52*E17</f>
        <v>1185408</v>
      </c>
      <c r="H17" s="72">
        <f>I17*D9</f>
        <v>801502.8</v>
      </c>
      <c r="I17" s="175">
        <f>E17</f>
        <v>196</v>
      </c>
      <c r="J17" s="71">
        <f>K17*D9</f>
        <v>4847488934.4000006</v>
      </c>
      <c r="K17" s="174">
        <f>3.5*56*'DECISIÓN FINAL DE CUBICAJE'!P52</f>
        <v>1185408</v>
      </c>
    </row>
    <row r="18" spans="1:50" ht="15.75" thickBot="1" x14ac:dyDescent="0.3">
      <c r="A18" s="66"/>
      <c r="B18" s="66"/>
      <c r="C18" s="29"/>
      <c r="D18" s="73"/>
      <c r="E18" s="74"/>
      <c r="F18" s="74"/>
      <c r="G18" s="74"/>
      <c r="H18" s="74"/>
      <c r="J18" s="74"/>
      <c r="K18" s="74"/>
    </row>
    <row r="19" spans="1:50" ht="15.75" customHeight="1" thickBot="1" x14ac:dyDescent="0.3">
      <c r="A19" s="324" t="s">
        <v>218</v>
      </c>
      <c r="B19" s="325"/>
      <c r="C19" s="1" t="s">
        <v>219</v>
      </c>
      <c r="D19" s="82">
        <f>E19*D8</f>
        <v>1402.604</v>
      </c>
      <c r="E19" s="176">
        <f>0.35</f>
        <v>0.35</v>
      </c>
      <c r="F19" s="84">
        <f>G19*D8</f>
        <v>475045143.55199999</v>
      </c>
      <c r="G19" s="176">
        <f>E19*56*'DECISIÓN FINAL DE CUBICAJE'!P52</f>
        <v>118540.79999999999</v>
      </c>
      <c r="H19" s="85">
        <f>I19*D9</f>
        <v>1431.2549999999999</v>
      </c>
      <c r="I19" s="176">
        <f>0.35</f>
        <v>0.35</v>
      </c>
      <c r="J19" s="84">
        <f>D9*K19</f>
        <v>484748893.44</v>
      </c>
      <c r="K19" s="212">
        <f>0.35*56*'DECISIÓN FINAL DE CUBICAJE'!P52</f>
        <v>118540.79999999999</v>
      </c>
      <c r="O19" s="322" t="s">
        <v>255</v>
      </c>
      <c r="P19" s="323"/>
      <c r="Q19" s="151" t="s">
        <v>4</v>
      </c>
      <c r="AG19" t="s">
        <v>307</v>
      </c>
    </row>
    <row r="20" spans="1:50" ht="15.75" thickBot="1" x14ac:dyDescent="0.3">
      <c r="A20" s="326"/>
      <c r="B20" s="327"/>
      <c r="C20" s="1" t="s">
        <v>220</v>
      </c>
      <c r="D20" s="82">
        <f>E20*D8</f>
        <v>11020.460000000001</v>
      </c>
      <c r="E20" s="177">
        <v>2.75</v>
      </c>
      <c r="F20" s="84">
        <f>G20*D8</f>
        <v>66651742.079999998</v>
      </c>
      <c r="G20" s="177">
        <f>E20*'DECISIÓN FINAL DE CUBICAJE'!P52</f>
        <v>16632</v>
      </c>
      <c r="H20" s="85">
        <f>I20*D9</f>
        <v>11245.575000000001</v>
      </c>
      <c r="I20" s="177">
        <v>2.75</v>
      </c>
      <c r="J20" s="84">
        <f>D9*K20</f>
        <v>68013237.600000009</v>
      </c>
      <c r="K20" s="213">
        <f>2.75*'DECISIÓN FINAL DE CUBICAJE'!P52</f>
        <v>16632</v>
      </c>
      <c r="O20" s="283" t="s">
        <v>6</v>
      </c>
      <c r="P20" s="283"/>
      <c r="Q20" s="233">
        <f>G17</f>
        <v>1185408</v>
      </c>
    </row>
    <row r="21" spans="1:50" ht="15.75" thickBot="1" x14ac:dyDescent="0.3">
      <c r="A21" s="326"/>
      <c r="B21" s="327"/>
      <c r="C21" s="76" t="s">
        <v>221</v>
      </c>
      <c r="D21" s="82">
        <f>E21*D8</f>
        <v>320.59520000000003</v>
      </c>
      <c r="E21" s="177">
        <v>0.08</v>
      </c>
      <c r="F21" s="84">
        <f>G21*D8</f>
        <v>1938959.7696000002</v>
      </c>
      <c r="G21" s="177">
        <f>E21*'DECISIÓN FINAL DE CUBICAJE'!P52</f>
        <v>483.84000000000003</v>
      </c>
      <c r="H21" s="105">
        <f>I21*D9</f>
        <v>327.14400000000001</v>
      </c>
      <c r="I21" s="205">
        <v>0.08</v>
      </c>
      <c r="J21" s="104">
        <f>D9*K21</f>
        <v>1978566.9120000002</v>
      </c>
      <c r="K21" s="214">
        <f>0.08*'DECISIÓN FINAL DE CUBICAJE'!P52</f>
        <v>483.84000000000003</v>
      </c>
      <c r="O21" s="283" t="s">
        <v>226</v>
      </c>
      <c r="P21" s="283"/>
      <c r="Q21" s="233">
        <f>Q20*0.7%</f>
        <v>8297.8559999999998</v>
      </c>
    </row>
    <row r="22" spans="1:50" ht="15.75" thickBot="1" x14ac:dyDescent="0.3">
      <c r="A22" s="326"/>
      <c r="B22" s="327"/>
      <c r="C22" s="1" t="s">
        <v>222</v>
      </c>
      <c r="D22" s="163">
        <f>E22*D8</f>
        <v>36.443320105820106</v>
      </c>
      <c r="E22" s="178">
        <f>55/'DECISIÓN FINAL DE CUBICAJE'!P52</f>
        <v>9.0939153439153434E-3</v>
      </c>
      <c r="F22" s="164">
        <f>G22*D8</f>
        <v>1333034841.5999999</v>
      </c>
      <c r="G22" s="199">
        <f>55*'DECISIÓN FINAL DE CUBICAJE'!P52</f>
        <v>332640</v>
      </c>
      <c r="H22" s="90"/>
      <c r="I22" s="189"/>
      <c r="J22" s="90"/>
      <c r="K22" s="215"/>
      <c r="O22" s="283" t="s">
        <v>227</v>
      </c>
      <c r="P22" s="283"/>
      <c r="Q22" s="233">
        <f>14000/D8</f>
        <v>3.4935020861198169</v>
      </c>
    </row>
    <row r="23" spans="1:50" ht="15.75" thickBot="1" x14ac:dyDescent="0.3">
      <c r="A23" s="326"/>
      <c r="B23" s="327"/>
      <c r="C23" s="43" t="s">
        <v>223</v>
      </c>
      <c r="D23" s="161">
        <f>F23/'DECISIÓN FINAL DE CUBICAJE'!P52</f>
        <v>15.707671957671957</v>
      </c>
      <c r="E23" s="197">
        <f>D23/D8</f>
        <v>3.9196274823009095E-3</v>
      </c>
      <c r="F23" s="154">
        <f>5700000/120*2</f>
        <v>95000</v>
      </c>
      <c r="G23" s="179">
        <f>F23/D8</f>
        <v>23.705907012955901</v>
      </c>
      <c r="H23" s="154">
        <f>J23/'DECISIÓN FINAL DE CUBICAJE'!P52</f>
        <v>15.707671957671957</v>
      </c>
      <c r="I23" s="197">
        <f>H23/D9</f>
        <v>3.8411640030499E-3</v>
      </c>
      <c r="J23" s="154">
        <f>5700000/120*2</f>
        <v>95000</v>
      </c>
      <c r="K23" s="216">
        <f>J23/D9</f>
        <v>23.231359890445798</v>
      </c>
      <c r="O23" s="283" t="s">
        <v>245</v>
      </c>
      <c r="P23" s="283"/>
      <c r="Q23" s="233">
        <f>220000/D8</f>
        <v>54.897889924739985</v>
      </c>
    </row>
    <row r="24" spans="1:50" s="80" customFormat="1" ht="15.75" thickBot="1" x14ac:dyDescent="0.3">
      <c r="A24" s="326"/>
      <c r="B24" s="327"/>
      <c r="C24" s="1" t="s">
        <v>224</v>
      </c>
      <c r="D24" s="154">
        <f>E24*D8</f>
        <v>165.65145502645504</v>
      </c>
      <c r="E24" s="180">
        <f>250/'DECISIÓN FINAL DE CUBICAJE'!P52</f>
        <v>4.1335978835978837E-2</v>
      </c>
      <c r="F24" s="154">
        <f>G24*D8</f>
        <v>1001860</v>
      </c>
      <c r="G24" s="180">
        <f>250</f>
        <v>250</v>
      </c>
      <c r="H24" s="83">
        <f>I24*D9</f>
        <v>169.03521825396825</v>
      </c>
      <c r="I24" s="177">
        <f>250/'DECISIÓN FINAL DE CUBICAJE'!P52</f>
        <v>4.1335978835978837E-2</v>
      </c>
      <c r="J24" s="89">
        <f>K24*D9</f>
        <v>1022325</v>
      </c>
      <c r="K24" s="213">
        <v>250</v>
      </c>
      <c r="O24" s="332" t="s">
        <v>246</v>
      </c>
      <c r="P24" s="333"/>
      <c r="Q24" s="234">
        <f>SUM(Q21:Q23)</f>
        <v>8356.2473920108587</v>
      </c>
      <c r="S24"/>
      <c r="T24"/>
      <c r="U24"/>
      <c r="V24"/>
      <c r="W24"/>
      <c r="X24"/>
      <c r="Y24"/>
      <c r="Z24"/>
      <c r="AA24"/>
      <c r="AB24"/>
      <c r="AC24"/>
      <c r="AD24"/>
      <c r="AE24"/>
      <c r="AF24"/>
      <c r="AG24"/>
      <c r="AH24"/>
      <c r="AI24"/>
      <c r="AJ24"/>
      <c r="AK24"/>
      <c r="AL24"/>
      <c r="AM24"/>
      <c r="AN24"/>
      <c r="AO24"/>
      <c r="AP24"/>
      <c r="AQ24"/>
      <c r="AR24"/>
      <c r="AS24"/>
      <c r="AT24"/>
      <c r="AU24"/>
      <c r="AV24"/>
      <c r="AW24"/>
      <c r="AX24"/>
    </row>
    <row r="25" spans="1:50" ht="15.75" thickBot="1" x14ac:dyDescent="0.3">
      <c r="A25" s="326"/>
      <c r="B25" s="327"/>
      <c r="C25" s="1" t="s">
        <v>225</v>
      </c>
      <c r="D25" s="154">
        <f>9750000/'DECISIÓN FINAL DE CUBICAJE'!P52</f>
        <v>1612.1031746031747</v>
      </c>
      <c r="E25" s="180">
        <f>D25/D8</f>
        <v>0.40227755739404075</v>
      </c>
      <c r="F25" s="154">
        <v>9750000</v>
      </c>
      <c r="G25" s="180">
        <f>F25/D8</f>
        <v>2432.9746671191583</v>
      </c>
      <c r="H25" s="83"/>
      <c r="I25" s="176"/>
      <c r="J25" s="83"/>
      <c r="K25" s="212"/>
      <c r="O25" s="80"/>
      <c r="P25" s="80"/>
      <c r="Q25" s="80"/>
    </row>
    <row r="26" spans="1:50" x14ac:dyDescent="0.25">
      <c r="A26" s="326"/>
      <c r="B26" s="327"/>
      <c r="C26" s="1" t="s">
        <v>226</v>
      </c>
      <c r="D26" s="154">
        <f>F26/'DECISIÓN FINAL DE CUBICAJE'!P52</f>
        <v>5536.8981561904748</v>
      </c>
      <c r="E26" s="235">
        <v>7.0000000000000001E-3</v>
      </c>
      <c r="F26" s="154">
        <f>G26*D8</f>
        <v>33487160.048639994</v>
      </c>
      <c r="G26" s="180">
        <f>Q24</f>
        <v>8356.2473920108587</v>
      </c>
      <c r="H26" s="83"/>
      <c r="I26" s="176"/>
      <c r="J26" s="83"/>
      <c r="K26" s="212"/>
      <c r="O26" s="256" t="s">
        <v>247</v>
      </c>
      <c r="P26" s="258"/>
      <c r="Q26" s="147" t="s">
        <v>4</v>
      </c>
    </row>
    <row r="27" spans="1:50" x14ac:dyDescent="0.25">
      <c r="A27" s="326"/>
      <c r="B27" s="327"/>
      <c r="C27" s="43" t="s">
        <v>303</v>
      </c>
      <c r="D27" s="81">
        <f>186000/'DECISIÓN FINAL DE CUBICAJE'!P52</f>
        <v>30.753968253968253</v>
      </c>
      <c r="E27" s="181">
        <f>D27/D8</f>
        <v>7.6742180179786229E-3</v>
      </c>
      <c r="F27" s="81">
        <f>186000*7</f>
        <v>1302000</v>
      </c>
      <c r="G27" s="184">
        <f>F27/D8</f>
        <v>324.89569400914297</v>
      </c>
      <c r="H27" s="90"/>
      <c r="I27" s="189"/>
      <c r="J27" s="90"/>
      <c r="K27" s="217"/>
      <c r="O27" s="283" t="s">
        <v>249</v>
      </c>
      <c r="P27" s="283"/>
      <c r="Q27" s="233">
        <v>118</v>
      </c>
    </row>
    <row r="28" spans="1:50" x14ac:dyDescent="0.25">
      <c r="A28" s="326"/>
      <c r="B28" s="327"/>
      <c r="C28" s="1" t="s">
        <v>228</v>
      </c>
      <c r="D28" s="91">
        <f>F28/'DECISIÓN FINAL DE CUBICAJE'!P52</f>
        <v>409.08025132275128</v>
      </c>
      <c r="E28" s="182">
        <f>D28/D8</f>
        <v>0.10208019367046076</v>
      </c>
      <c r="F28" s="91">
        <f>G28*D8</f>
        <v>2474117.36</v>
      </c>
      <c r="G28" s="182">
        <f>Q32</f>
        <v>617.38101131894678</v>
      </c>
      <c r="H28" s="91"/>
      <c r="I28" s="182"/>
      <c r="J28" s="91"/>
      <c r="K28" s="218"/>
      <c r="O28" s="293" t="s">
        <v>250</v>
      </c>
      <c r="P28" s="293"/>
      <c r="Q28" s="248">
        <f>535000/D8</f>
        <v>133.50168686243586</v>
      </c>
    </row>
    <row r="29" spans="1:50" x14ac:dyDescent="0.25">
      <c r="A29" s="326"/>
      <c r="B29" s="327"/>
      <c r="C29" s="78" t="s">
        <v>229</v>
      </c>
      <c r="D29" s="165">
        <f>E29*D8</f>
        <v>172.27751322751323</v>
      </c>
      <c r="E29" s="183">
        <f>260/'DECISIÓN FINAL DE CUBICAJE'!P52</f>
        <v>4.2989417989417987E-2</v>
      </c>
      <c r="F29" s="91">
        <f>G29*D8</f>
        <v>1041934.4</v>
      </c>
      <c r="G29" s="178">
        <f>260</f>
        <v>260</v>
      </c>
      <c r="H29" s="92"/>
      <c r="I29" s="206"/>
      <c r="J29" s="91"/>
      <c r="K29" s="219"/>
      <c r="O29" s="293" t="s">
        <v>251</v>
      </c>
      <c r="P29" s="293"/>
      <c r="Q29" s="234"/>
    </row>
    <row r="30" spans="1:50" x14ac:dyDescent="0.25">
      <c r="A30" s="326"/>
      <c r="B30" s="327"/>
      <c r="C30" s="76" t="s">
        <v>230</v>
      </c>
      <c r="D30" s="165">
        <f>E30*D8</f>
        <v>4406.3287037037035</v>
      </c>
      <c r="E30" s="180">
        <f>950/'DECISIÓN FINAL DE CUBICAJE'!O28</f>
        <v>1.099537037037037</v>
      </c>
      <c r="F30" s="91">
        <f>G30*D8</f>
        <v>26649476</v>
      </c>
      <c r="G30" s="183">
        <f>950*7</f>
        <v>6650</v>
      </c>
      <c r="H30" s="86"/>
      <c r="I30" s="177"/>
      <c r="J30" s="91"/>
      <c r="K30" s="219"/>
      <c r="O30" s="293" t="s">
        <v>252</v>
      </c>
      <c r="P30" s="293"/>
      <c r="Q30" s="234">
        <f>21.5*2*7</f>
        <v>301</v>
      </c>
    </row>
    <row r="31" spans="1:50" x14ac:dyDescent="0.25">
      <c r="A31" s="326"/>
      <c r="B31" s="327"/>
      <c r="C31" s="1" t="s">
        <v>231</v>
      </c>
      <c r="D31" s="43"/>
      <c r="E31" s="184"/>
      <c r="F31" s="91"/>
      <c r="G31" s="200"/>
      <c r="H31" s="92">
        <f>I31*D9</f>
        <v>1656.5451388888891</v>
      </c>
      <c r="I31" s="205">
        <f>K31/'DECISIÓN FINAL DE CUBICAJE'!P52</f>
        <v>0.40509259259259262</v>
      </c>
      <c r="J31" s="91">
        <f>K31*D9</f>
        <v>10018785</v>
      </c>
      <c r="K31" s="214">
        <f>350*7</f>
        <v>2450</v>
      </c>
      <c r="O31" s="293" t="s">
        <v>253</v>
      </c>
      <c r="P31" s="293"/>
      <c r="Q31" s="234">
        <f>260000/D8</f>
        <v>64.879324456510886</v>
      </c>
    </row>
    <row r="32" spans="1:50" x14ac:dyDescent="0.25">
      <c r="A32" s="326"/>
      <c r="B32" s="327"/>
      <c r="C32" s="1" t="s">
        <v>232</v>
      </c>
      <c r="D32" s="165">
        <f>E32*D8</f>
        <v>145.77328042328043</v>
      </c>
      <c r="E32" s="178">
        <f>220/'DECISIÓN FINAL DE CUBICAJE'!P52</f>
        <v>3.6375661375661374E-2</v>
      </c>
      <c r="F32" s="91">
        <f>G32*D8</f>
        <v>881636.8</v>
      </c>
      <c r="G32" s="178">
        <f>220</f>
        <v>220</v>
      </c>
      <c r="H32" s="90">
        <f>I32*D9</f>
        <v>148.75099206349205</v>
      </c>
      <c r="I32" s="189">
        <f>220/'DECISIÓN FINAL DE CUBICAJE'!P52</f>
        <v>3.6375661375661374E-2</v>
      </c>
      <c r="J32" s="91">
        <f>K32*D9</f>
        <v>899646</v>
      </c>
      <c r="K32" s="215">
        <v>220</v>
      </c>
      <c r="O32" s="293" t="s">
        <v>248</v>
      </c>
      <c r="P32" s="293"/>
      <c r="Q32" s="234">
        <f>SUM(Q27:Q31)</f>
        <v>617.38101131894678</v>
      </c>
    </row>
    <row r="33" spans="1:24" x14ac:dyDescent="0.25">
      <c r="A33" s="326"/>
      <c r="B33" s="327"/>
      <c r="C33" s="152"/>
      <c r="D33" s="93"/>
      <c r="E33" s="185"/>
      <c r="F33" s="93"/>
      <c r="G33" s="185"/>
      <c r="H33" s="93"/>
      <c r="I33" s="185"/>
      <c r="J33" s="93"/>
      <c r="K33" s="220"/>
      <c r="O33" s="80"/>
      <c r="P33" s="80"/>
      <c r="Q33" s="80"/>
    </row>
    <row r="34" spans="1:24" x14ac:dyDescent="0.25">
      <c r="A34" s="326"/>
      <c r="B34" s="327"/>
      <c r="C34" s="79" t="s">
        <v>7</v>
      </c>
      <c r="D34" s="94">
        <f>SUM(D19:D26,D28,D29,D30,D32,D17)</f>
        <v>810702.16272656084</v>
      </c>
      <c r="E34" s="187">
        <f>SUM(E19:E26,E28,E29,E30,E32,E17)</f>
        <v>200.92460938912882</v>
      </c>
      <c r="F34" s="94">
        <f>SUM(F19:F26,F28,F29,F30,F32,F17)</f>
        <v>6702503307.1302404</v>
      </c>
      <c r="G34" s="187">
        <f>SUM(G19:G26,G28,G29,G30,G32,G17)</f>
        <v>1672514.948977462</v>
      </c>
      <c r="H34" s="94"/>
      <c r="I34" s="187"/>
      <c r="J34" s="95"/>
      <c r="K34" s="221"/>
      <c r="O34" s="256" t="s">
        <v>254</v>
      </c>
      <c r="P34" s="258"/>
      <c r="Q34" s="147" t="s">
        <v>4</v>
      </c>
    </row>
    <row r="35" spans="1:24" ht="15.75" thickBot="1" x14ac:dyDescent="0.3">
      <c r="A35" s="328"/>
      <c r="B35" s="329"/>
      <c r="C35" s="79" t="s">
        <v>8</v>
      </c>
      <c r="D35" s="172"/>
      <c r="E35" s="186"/>
      <c r="F35" s="172"/>
      <c r="G35" s="186"/>
      <c r="H35" s="96">
        <f>SUM(H19:H32)</f>
        <v>14994.013021164021</v>
      </c>
      <c r="I35" s="207">
        <f>SUM(I19:I32)</f>
        <v>3.666645396807283</v>
      </c>
      <c r="J35" s="96">
        <f>SUM(J19:J32)</f>
        <v>566776453.9519999</v>
      </c>
      <c r="K35" s="221">
        <f>SUM(K19:K32)</f>
        <v>138599.87135989044</v>
      </c>
      <c r="O35" s="283" t="s">
        <v>249</v>
      </c>
      <c r="P35" s="283"/>
      <c r="Q35" s="233">
        <f>Q27</f>
        <v>118</v>
      </c>
    </row>
    <row r="36" spans="1:24" x14ac:dyDescent="0.25">
      <c r="A36" s="150"/>
      <c r="B36" s="75"/>
      <c r="C36" s="79" t="s">
        <v>9</v>
      </c>
      <c r="D36" s="94">
        <f>SUM(D17,D19:D32)</f>
        <v>810732.9166948148</v>
      </c>
      <c r="E36" s="187">
        <f>SUM(E17,E19:E32)</f>
        <v>200.93228360714681</v>
      </c>
      <c r="F36" s="94">
        <f>SUM(F17,F19:F32)</f>
        <v>6703805307.1302404</v>
      </c>
      <c r="G36" s="187">
        <f>SUM(G17,G19:G32)</f>
        <v>1672839.844671471</v>
      </c>
      <c r="H36" s="94"/>
      <c r="I36" s="187"/>
      <c r="J36" s="95"/>
      <c r="K36" s="221"/>
      <c r="O36" s="293" t="s">
        <v>250</v>
      </c>
      <c r="P36" s="293"/>
      <c r="Q36" s="234">
        <f>Q28</f>
        <v>133.50168686243586</v>
      </c>
    </row>
    <row r="37" spans="1:24" x14ac:dyDescent="0.25">
      <c r="A37" s="75"/>
      <c r="B37" s="75"/>
      <c r="C37" s="29"/>
      <c r="D37" s="93"/>
      <c r="E37" s="188"/>
      <c r="F37" s="93"/>
      <c r="G37" s="185"/>
      <c r="H37" s="93"/>
      <c r="I37" s="185"/>
      <c r="J37" s="93"/>
      <c r="K37" s="215"/>
      <c r="L37" s="29"/>
      <c r="O37" s="293" t="s">
        <v>304</v>
      </c>
      <c r="P37" s="293"/>
      <c r="Q37" s="234">
        <f>D27</f>
        <v>30.753968253968253</v>
      </c>
    </row>
    <row r="38" spans="1:24" x14ac:dyDescent="0.25">
      <c r="A38" s="75"/>
      <c r="C38" s="169" t="s">
        <v>234</v>
      </c>
      <c r="D38" s="90">
        <f>E38*D8</f>
        <v>21066.889444444445</v>
      </c>
      <c r="E38" s="189">
        <f>G38/'DECISIÓN FINAL DE CUBICAJE'!P52</f>
        <v>5.2569444444444446</v>
      </c>
      <c r="F38" s="90">
        <f>G38*D8</f>
        <v>127412547.36</v>
      </c>
      <c r="G38" s="189">
        <f>R51</f>
        <v>31794</v>
      </c>
      <c r="H38" s="90"/>
      <c r="I38" s="189"/>
      <c r="J38" s="97"/>
      <c r="K38" s="215"/>
      <c r="L38" s="29"/>
      <c r="M38" s="153"/>
      <c r="O38" s="293" t="s">
        <v>252</v>
      </c>
      <c r="P38" s="293"/>
      <c r="Q38" s="234">
        <f>Q30</f>
        <v>301</v>
      </c>
    </row>
    <row r="39" spans="1:24" x14ac:dyDescent="0.25">
      <c r="A39" s="330" t="s">
        <v>233</v>
      </c>
      <c r="B39" s="330"/>
      <c r="C39" s="169" t="s">
        <v>235</v>
      </c>
      <c r="D39" s="98"/>
      <c r="E39" s="189"/>
      <c r="F39" s="98"/>
      <c r="G39" s="188"/>
      <c r="H39" s="90">
        <f>I39*D9</f>
        <v>11450.04</v>
      </c>
      <c r="I39" s="208">
        <f>K39/'DECISIÓN FINAL DE CUBICAJE'!P52</f>
        <v>2.8000000000000003</v>
      </c>
      <c r="J39" s="90">
        <f>K39*D9</f>
        <v>69249841.920000002</v>
      </c>
      <c r="K39" s="222">
        <f>0.2*14*'DECISIÓN FINAL DE CUBICAJE'!P52</f>
        <v>16934.400000000001</v>
      </c>
      <c r="L39" s="29"/>
      <c r="M39" s="159"/>
      <c r="O39" s="293" t="s">
        <v>253</v>
      </c>
      <c r="P39" s="293"/>
      <c r="Q39" s="234">
        <f>Q31</f>
        <v>64.879324456510886</v>
      </c>
    </row>
    <row r="40" spans="1:24" x14ac:dyDescent="0.25">
      <c r="A40" s="330"/>
      <c r="B40" s="330"/>
      <c r="C40" s="169" t="s">
        <v>272</v>
      </c>
      <c r="D40" s="141">
        <f>E40*D8</f>
        <v>15549.454221254788</v>
      </c>
      <c r="E40" s="182">
        <f>G40/'DECISIÓN FINAL DE CUBICAJE'!P52</f>
        <v>3.8801464828555856</v>
      </c>
      <c r="F40" s="141">
        <f>G40*D8</f>
        <v>94043099.130148962</v>
      </c>
      <c r="G40" s="182">
        <f>Z54</f>
        <v>23467.125928310583</v>
      </c>
      <c r="H40" s="91"/>
      <c r="I40" s="182"/>
      <c r="J40" s="91"/>
      <c r="K40" s="218"/>
      <c r="L40" s="29"/>
      <c r="O40" s="293" t="s">
        <v>248</v>
      </c>
      <c r="P40" s="293"/>
      <c r="Q40" s="234">
        <f>SUM(Q35:Q39)*23%</f>
        <v>149.07104530177045</v>
      </c>
    </row>
    <row r="41" spans="1:24" x14ac:dyDescent="0.25">
      <c r="A41" s="330"/>
      <c r="B41" s="330"/>
      <c r="C41" s="169" t="s">
        <v>273</v>
      </c>
      <c r="D41" s="92"/>
      <c r="E41" s="233"/>
      <c r="F41" s="91"/>
      <c r="G41" s="233"/>
      <c r="H41" s="92">
        <f>I41*D9</f>
        <v>9038.8314713993059</v>
      </c>
      <c r="I41" s="206">
        <f>K41/'DECISIÓN FINAL DE CUBICAJE'!P52</f>
        <v>2.2103615463280528</v>
      </c>
      <c r="J41" s="99">
        <f>K41*D9</f>
        <v>54666852.739023007</v>
      </c>
      <c r="K41" s="219">
        <f>T70</f>
        <v>13368.266632192064</v>
      </c>
      <c r="L41" s="29"/>
    </row>
    <row r="42" spans="1:24" ht="15" customHeight="1" thickBot="1" x14ac:dyDescent="0.3">
      <c r="A42" s="330"/>
      <c r="B42" s="330"/>
      <c r="C42" s="29"/>
      <c r="D42" s="87"/>
      <c r="E42" s="190"/>
      <c r="F42" s="87"/>
      <c r="G42" s="190"/>
      <c r="H42" s="87"/>
      <c r="I42" s="190"/>
      <c r="J42" s="87"/>
      <c r="K42" s="223"/>
      <c r="L42" s="29"/>
    </row>
    <row r="43" spans="1:24" ht="15.75" thickBot="1" x14ac:dyDescent="0.3">
      <c r="A43" s="330"/>
      <c r="B43" s="330"/>
      <c r="C43" s="170" t="s">
        <v>10</v>
      </c>
      <c r="D43" s="100">
        <f>D36+D38</f>
        <v>831799.80613925925</v>
      </c>
      <c r="E43" s="191">
        <f>E36+E38</f>
        <v>206.18922805159127</v>
      </c>
      <c r="F43" s="101">
        <f>F36+F38</f>
        <v>6831217854.4902401</v>
      </c>
      <c r="G43" s="191">
        <f>G36+G38</f>
        <v>1704633.844671471</v>
      </c>
      <c r="H43" s="101"/>
      <c r="I43" s="191"/>
      <c r="J43" s="101"/>
      <c r="K43" s="224"/>
      <c r="O43" s="256" t="s">
        <v>309</v>
      </c>
      <c r="P43" s="258"/>
    </row>
    <row r="44" spans="1:24" ht="15.75" thickBot="1" x14ac:dyDescent="0.3">
      <c r="A44" s="330"/>
      <c r="B44" s="330"/>
      <c r="C44" s="170" t="s">
        <v>11</v>
      </c>
      <c r="D44" s="100">
        <f>D43+D40</f>
        <v>847349.26036051405</v>
      </c>
      <c r="E44" s="191">
        <f>E43+E40</f>
        <v>210.06937453444687</v>
      </c>
      <c r="F44" s="101">
        <f>F43+F40</f>
        <v>6925260953.620389</v>
      </c>
      <c r="G44" s="191">
        <f>G43+G40</f>
        <v>1728100.9705997817</v>
      </c>
      <c r="H44" s="101"/>
      <c r="I44" s="191"/>
      <c r="J44" s="101"/>
      <c r="K44" s="224"/>
      <c r="O44" s="1" t="s">
        <v>258</v>
      </c>
      <c r="P44" s="113">
        <v>4350</v>
      </c>
      <c r="Q44" s="29"/>
      <c r="R44" s="160"/>
      <c r="V44" s="283" t="s">
        <v>315</v>
      </c>
      <c r="W44" s="283"/>
    </row>
    <row r="45" spans="1:24" ht="15.75" thickBot="1" x14ac:dyDescent="0.3">
      <c r="A45" s="330"/>
      <c r="B45" s="330"/>
      <c r="C45" s="170" t="s">
        <v>12</v>
      </c>
      <c r="D45" s="100"/>
      <c r="E45" s="191"/>
      <c r="F45" s="101"/>
      <c r="G45" s="191"/>
      <c r="H45" s="102">
        <f>H35+H39</f>
        <v>26444.053021164022</v>
      </c>
      <c r="I45" s="102">
        <f t="shared" ref="I45:K45" si="0">I35+I39</f>
        <v>6.4666453968072837</v>
      </c>
      <c r="J45" s="102">
        <f t="shared" si="0"/>
        <v>636026295.87199986</v>
      </c>
      <c r="K45" s="102">
        <f t="shared" si="0"/>
        <v>155534.27135989044</v>
      </c>
      <c r="O45" s="1" t="s">
        <v>259</v>
      </c>
      <c r="P45" s="114">
        <v>4.0000000000000001E-3</v>
      </c>
      <c r="Q45" s="77">
        <f>P44*P45</f>
        <v>17.400000000000002</v>
      </c>
      <c r="R45" s="160"/>
      <c r="V45" s="116" t="s">
        <v>9</v>
      </c>
      <c r="W45" s="116" t="s">
        <v>263</v>
      </c>
      <c r="X45" s="116" t="s">
        <v>10</v>
      </c>
    </row>
    <row r="46" spans="1:24" ht="15.75" thickBot="1" x14ac:dyDescent="0.3">
      <c r="A46" s="330"/>
      <c r="B46" s="330"/>
      <c r="C46" s="170" t="s">
        <v>13</v>
      </c>
      <c r="D46" s="100"/>
      <c r="E46" s="191"/>
      <c r="F46" s="101"/>
      <c r="G46" s="191"/>
      <c r="H46" s="103">
        <f>H45+H41</f>
        <v>35482.884492563331</v>
      </c>
      <c r="I46" s="209">
        <f>I45+I41</f>
        <v>8.6770069431353356</v>
      </c>
      <c r="J46" s="103">
        <f>J45+J41</f>
        <v>690693148.61102283</v>
      </c>
      <c r="K46" s="226">
        <f>K45+K41</f>
        <v>168902.53799208251</v>
      </c>
      <c r="O46" s="1" t="s">
        <v>3</v>
      </c>
      <c r="P46" s="114">
        <v>6.0000000000000001E-3</v>
      </c>
      <c r="Q46" s="77">
        <f>P44*P46</f>
        <v>26.1</v>
      </c>
      <c r="R46" s="160"/>
      <c r="V46" s="77">
        <f>G36</f>
        <v>1672839.844671471</v>
      </c>
      <c r="W46" s="77">
        <f>R51</f>
        <v>31794</v>
      </c>
      <c r="X46" s="77">
        <f>V46+W46</f>
        <v>1704633.844671471</v>
      </c>
    </row>
    <row r="47" spans="1:24" ht="15.75" thickBot="1" x14ac:dyDescent="0.3">
      <c r="A47" s="330"/>
      <c r="B47" s="330"/>
      <c r="C47" s="29"/>
      <c r="D47" s="87"/>
      <c r="E47" s="190"/>
      <c r="F47" s="87"/>
      <c r="G47" s="201"/>
      <c r="H47" s="87"/>
      <c r="I47" s="190"/>
      <c r="J47" s="87"/>
      <c r="K47" s="223"/>
      <c r="O47" s="1" t="s">
        <v>260</v>
      </c>
      <c r="P47" s="114">
        <v>4.0000000000000001E-3</v>
      </c>
      <c r="Q47" s="77">
        <f>P44*P47</f>
        <v>17.400000000000002</v>
      </c>
      <c r="R47" s="160"/>
      <c r="V47" s="29"/>
      <c r="W47" s="116" t="s">
        <v>264</v>
      </c>
      <c r="X47" s="118" t="s">
        <v>265</v>
      </c>
    </row>
    <row r="48" spans="1:24" x14ac:dyDescent="0.25">
      <c r="A48" s="167"/>
      <c r="B48" s="75"/>
      <c r="C48" s="237" t="s">
        <v>238</v>
      </c>
      <c r="D48" s="162">
        <f>F48/'DECISIÓN FINAL DE CUBICAJE'!P52</f>
        <v>98.775342226211478</v>
      </c>
      <c r="E48" s="192">
        <f>D48/D8</f>
        <v>2.4647990294604905E-2</v>
      </c>
      <c r="F48" s="105">
        <f>G48*D8</f>
        <v>597393.26978412701</v>
      </c>
      <c r="G48" s="202">
        <f>Q40</f>
        <v>149.07104530177045</v>
      </c>
      <c r="H48" s="105"/>
      <c r="I48" s="202"/>
      <c r="J48" s="105"/>
      <c r="K48" s="227"/>
      <c r="O48" s="1" t="s">
        <v>261</v>
      </c>
      <c r="P48" s="114">
        <v>6.0000000000000001E-3</v>
      </c>
      <c r="Q48" s="77">
        <f>P44*P48</f>
        <v>26.1</v>
      </c>
      <c r="R48" s="160"/>
      <c r="U48" s="29"/>
      <c r="W48" s="117">
        <v>0.81</v>
      </c>
      <c r="X48" s="77">
        <f>X46/W48</f>
        <v>2104486.2279894701</v>
      </c>
    </row>
    <row r="49" spans="1:51" x14ac:dyDescent="0.25">
      <c r="A49" s="330" t="s">
        <v>237</v>
      </c>
      <c r="B49" s="330"/>
      <c r="C49" s="168" t="s">
        <v>236</v>
      </c>
      <c r="D49" s="156"/>
      <c r="E49" s="178"/>
      <c r="F49" s="90"/>
      <c r="G49" s="189"/>
      <c r="H49" s="90">
        <f>I49*D9</f>
        <v>940539</v>
      </c>
      <c r="I49" s="189">
        <v>230</v>
      </c>
      <c r="J49" s="90">
        <f>K49*D9</f>
        <v>6583773</v>
      </c>
      <c r="K49" s="215">
        <f>230*7</f>
        <v>1610</v>
      </c>
      <c r="O49" s="1" t="s">
        <v>262</v>
      </c>
      <c r="P49" s="1">
        <v>105</v>
      </c>
      <c r="Q49" s="77">
        <f>P49</f>
        <v>105</v>
      </c>
      <c r="R49" s="160"/>
      <c r="W49" s="1">
        <v>0.81</v>
      </c>
      <c r="X49" s="247"/>
    </row>
    <row r="50" spans="1:51" ht="15.75" thickBot="1" x14ac:dyDescent="0.3">
      <c r="A50" s="330"/>
      <c r="B50" s="330"/>
      <c r="C50" s="169" t="s">
        <v>239</v>
      </c>
      <c r="D50" s="156">
        <f>E50*D8</f>
        <v>198.78174603174602</v>
      </c>
      <c r="E50" s="178">
        <f>300/'DECISIÓN FINAL DE CUBICAJE'!P52</f>
        <v>4.96031746031746E-2</v>
      </c>
      <c r="F50" s="90">
        <f>G50*D8</f>
        <v>1202232</v>
      </c>
      <c r="G50" s="189">
        <f>300</f>
        <v>300</v>
      </c>
      <c r="H50" s="89"/>
      <c r="I50" s="177"/>
      <c r="J50" s="86"/>
      <c r="K50" s="213"/>
      <c r="O50" s="256" t="s">
        <v>248</v>
      </c>
      <c r="P50" s="258"/>
      <c r="Q50" s="77">
        <f>SUM(Q45:Q49)</f>
        <v>192</v>
      </c>
      <c r="R50" s="147" t="s">
        <v>271</v>
      </c>
    </row>
    <row r="51" spans="1:51" ht="15.75" thickBot="1" x14ac:dyDescent="0.3">
      <c r="A51" s="330"/>
      <c r="B51" s="330"/>
      <c r="C51" s="168" t="s">
        <v>240</v>
      </c>
      <c r="D51" s="156">
        <f>E51*D8</f>
        <v>21.755557760141095</v>
      </c>
      <c r="E51" s="198">
        <f>G51/'DECISIÓN FINAL DE CUBICAJE'!P52</f>
        <v>5.428791887125221E-3</v>
      </c>
      <c r="F51" s="156">
        <f>G51*D8</f>
        <v>131577.61333333334</v>
      </c>
      <c r="G51" s="180">
        <f>985/60*2</f>
        <v>32.833333333333336</v>
      </c>
      <c r="H51" s="157">
        <f>I51*D9</f>
        <v>11.099979332010584</v>
      </c>
      <c r="I51" s="211">
        <f>985/120*2/'DECISIÓN FINAL DE CUBICAJE'!P52</f>
        <v>2.7143959435626105E-3</v>
      </c>
      <c r="J51" s="158">
        <f>K51*D9</f>
        <v>4027960.5</v>
      </c>
      <c r="K51" s="228">
        <v>985</v>
      </c>
      <c r="Q51" s="81">
        <f>Q50+P44</f>
        <v>4542</v>
      </c>
      <c r="R51" s="81">
        <f>Q51*7</f>
        <v>31794</v>
      </c>
      <c r="V51" s="283" t="s">
        <v>310</v>
      </c>
      <c r="W51" s="283"/>
    </row>
    <row r="52" spans="1:51" x14ac:dyDescent="0.25">
      <c r="A52" s="330"/>
      <c r="B52" s="330"/>
      <c r="C52" s="169" t="s">
        <v>241</v>
      </c>
      <c r="D52" s="162">
        <f>D44*20%</f>
        <v>169469.85207210283</v>
      </c>
      <c r="E52" s="193">
        <f>E44*20%</f>
        <v>42.013874906889377</v>
      </c>
      <c r="F52" s="104">
        <f>F44*20%</f>
        <v>1385052190.7240779</v>
      </c>
      <c r="G52" s="203">
        <f>G44*20%</f>
        <v>345620.19411995634</v>
      </c>
      <c r="H52" s="86">
        <f>H46*20%</f>
        <v>7096.576898512667</v>
      </c>
      <c r="I52" s="210">
        <f t="shared" ref="I52:J52" si="1">I46*20%</f>
        <v>1.7354013886270672</v>
      </c>
      <c r="J52" s="86">
        <f t="shared" si="1"/>
        <v>138138629.72220457</v>
      </c>
      <c r="K52" s="210">
        <f>K46*20%</f>
        <v>33780.507598416501</v>
      </c>
      <c r="U52" s="147" t="s">
        <v>267</v>
      </c>
      <c r="V52" s="147" t="s">
        <v>268</v>
      </c>
      <c r="W52" s="147" t="s">
        <v>269</v>
      </c>
      <c r="X52" s="147" t="s">
        <v>306</v>
      </c>
      <c r="Y52" s="1"/>
    </row>
    <row r="53" spans="1:51" x14ac:dyDescent="0.25">
      <c r="A53" s="330"/>
      <c r="B53" s="330"/>
      <c r="C53" s="169" t="s">
        <v>242</v>
      </c>
      <c r="D53" s="154">
        <f>E53*D8</f>
        <v>1292.0813492063494</v>
      </c>
      <c r="E53" s="180">
        <f>G53/'DECISIÓN FINAL DE CUBICAJE'!P52</f>
        <v>0.32242063492063494</v>
      </c>
      <c r="F53" s="90">
        <f>G53*D8</f>
        <v>7814508</v>
      </c>
      <c r="G53" s="177">
        <v>1950</v>
      </c>
      <c r="H53" s="86">
        <f>I53*D9</f>
        <v>642.3338293650794</v>
      </c>
      <c r="I53" s="177">
        <f>950/'DECISIÓN FINAL DE CUBICAJE'!P52</f>
        <v>0.15707671957671956</v>
      </c>
      <c r="J53" s="86">
        <f>K53*D9</f>
        <v>3884835</v>
      </c>
      <c r="K53" s="213">
        <v>950</v>
      </c>
      <c r="T53" s="147" t="s">
        <v>266</v>
      </c>
      <c r="U53" s="114">
        <v>8.9999999999999993E-3</v>
      </c>
      <c r="V53" s="117">
        <v>0.05</v>
      </c>
      <c r="W53" s="117">
        <v>0.18</v>
      </c>
      <c r="X53" s="77">
        <f>U54+V54</f>
        <v>19887.394854500493</v>
      </c>
      <c r="Y53" s="77">
        <f>U54+V54</f>
        <v>19887.394854500493</v>
      </c>
      <c r="Z53" s="147" t="s">
        <v>305</v>
      </c>
    </row>
    <row r="54" spans="1:51" x14ac:dyDescent="0.25">
      <c r="A54" s="330"/>
      <c r="B54" s="330"/>
      <c r="C54" s="168" t="s">
        <v>243</v>
      </c>
      <c r="D54" s="154">
        <f>E54*D8</f>
        <v>125.89510582010583</v>
      </c>
      <c r="E54" s="180">
        <f>190/'DECISIÓN FINAL DE CUBICAJE'!P52</f>
        <v>3.1415343915343917E-2</v>
      </c>
      <c r="F54" s="90">
        <f>G54*D8</f>
        <v>761413.6</v>
      </c>
      <c r="G54" s="177">
        <v>190</v>
      </c>
      <c r="H54" s="86"/>
      <c r="I54" s="177"/>
      <c r="J54" s="86"/>
      <c r="K54" s="213"/>
      <c r="T54" s="77">
        <f>X48</f>
        <v>2104486.2279894701</v>
      </c>
      <c r="U54" s="77">
        <f>T54*U53</f>
        <v>18940.37605190523</v>
      </c>
      <c r="V54" s="119">
        <f>U54*V53</f>
        <v>947.0188025952616</v>
      </c>
      <c r="W54" s="1">
        <v>0.18</v>
      </c>
      <c r="X54" s="1" t="s">
        <v>270</v>
      </c>
      <c r="Y54" s="77">
        <f>Y53*W53</f>
        <v>3579.7310738100887</v>
      </c>
      <c r="Z54" s="113">
        <f>Y53+Y54</f>
        <v>23467.125928310583</v>
      </c>
    </row>
    <row r="55" spans="1:51" x14ac:dyDescent="0.25">
      <c r="A55" s="330"/>
      <c r="B55" s="330"/>
      <c r="C55" s="169" t="s">
        <v>244</v>
      </c>
      <c r="D55" s="154">
        <f>D44*8%</f>
        <v>67787.940828841121</v>
      </c>
      <c r="E55" s="194">
        <f>E44*8%</f>
        <v>16.805549962755748</v>
      </c>
      <c r="F55" s="89">
        <f>F44*8%</f>
        <v>554020876.28963113</v>
      </c>
      <c r="G55" s="204">
        <f>G44*8%</f>
        <v>138248.07764798254</v>
      </c>
      <c r="H55" s="86">
        <f>H45*8%</f>
        <v>2115.5242416931219</v>
      </c>
      <c r="I55" s="210">
        <f>I45*8%</f>
        <v>0.51733163174458274</v>
      </c>
      <c r="J55" s="86">
        <f>J45*8%</f>
        <v>50882103.669759989</v>
      </c>
      <c r="K55" s="229">
        <f>K45*8%</f>
        <v>12442.741708791234</v>
      </c>
    </row>
    <row r="56" spans="1:51" ht="15.75" thickBot="1" x14ac:dyDescent="0.3">
      <c r="A56" s="330"/>
      <c r="B56" s="330"/>
      <c r="C56" s="43" t="s">
        <v>308</v>
      </c>
      <c r="D56" s="106">
        <f>F56/'DECISIÓN FINAL DE CUBICAJE'!P52</f>
        <v>56475.015331433868</v>
      </c>
      <c r="E56" s="238">
        <v>0.05</v>
      </c>
      <c r="F56" s="88">
        <f>F43*E56</f>
        <v>341560892.72451204</v>
      </c>
      <c r="G56" s="240">
        <f>G43*E56</f>
        <v>85231.692233573558</v>
      </c>
      <c r="H56" s="88">
        <f>H45*E56</f>
        <v>1322.2026510582011</v>
      </c>
      <c r="I56" s="239">
        <f>I45*E56</f>
        <v>0.32333226984036423</v>
      </c>
      <c r="J56" s="88">
        <f>J45*E56</f>
        <v>31801314.793599993</v>
      </c>
      <c r="K56" s="239">
        <f>K45*E56</f>
        <v>7776.7135679945222</v>
      </c>
      <c r="O56" s="149"/>
      <c r="P56" s="331" t="s">
        <v>314</v>
      </c>
      <c r="Q56" s="331"/>
    </row>
    <row r="57" spans="1:51" ht="15.75" thickBot="1" x14ac:dyDescent="0.3">
      <c r="A57" s="330"/>
      <c r="B57" s="330"/>
      <c r="C57" s="171"/>
      <c r="D57" s="241"/>
      <c r="E57" s="242"/>
      <c r="F57" s="241"/>
      <c r="G57" s="243"/>
      <c r="H57" s="241"/>
      <c r="I57" s="241"/>
      <c r="J57" s="241"/>
      <c r="K57" s="241"/>
      <c r="N57" s="29"/>
      <c r="O57" s="29"/>
      <c r="P57" s="115" t="s">
        <v>8</v>
      </c>
      <c r="Q57" s="116" t="s">
        <v>263</v>
      </c>
    </row>
    <row r="58" spans="1:51" ht="15.75" thickBot="1" x14ac:dyDescent="0.3">
      <c r="A58" s="330"/>
      <c r="B58" s="330"/>
      <c r="C58" s="170" t="s">
        <v>14</v>
      </c>
      <c r="D58" s="173">
        <f>SUM(D19:D32,D38:D41,D48)</f>
        <v>61989.795702740259</v>
      </c>
      <c r="E58" s="196">
        <f>SUM(E19:E32,E38:E41,E48)</f>
        <v>14.094022524741428</v>
      </c>
      <c r="F58" s="173">
        <f t="shared" ref="F58:G58" si="2">SUM(F19:F32,F38:F41,F48)</f>
        <v>2175406911.3701725</v>
      </c>
      <c r="G58" s="196">
        <f t="shared" si="2"/>
        <v>542842.04164508346</v>
      </c>
      <c r="H58" s="173">
        <f>SUM(H19:H32,H38:H41,H48)</f>
        <v>35482.884492563331</v>
      </c>
      <c r="I58" s="173">
        <f t="shared" ref="I58:K58" si="3">SUM(I19:I32,I38:I41,I48)</f>
        <v>8.6770069431353356</v>
      </c>
      <c r="J58" s="173">
        <f>SUM(J19:J32,J38:J41,J48)</f>
        <v>690693148.61102283</v>
      </c>
      <c r="K58" s="173">
        <f t="shared" si="3"/>
        <v>168902.53799208251</v>
      </c>
      <c r="N58" s="149"/>
      <c r="O58" s="29"/>
      <c r="P58" s="77">
        <f>K35</f>
        <v>138599.87135989044</v>
      </c>
      <c r="Q58" s="77">
        <f>K39</f>
        <v>16934.400000000001</v>
      </c>
      <c r="R58" s="116" t="s">
        <v>12</v>
      </c>
    </row>
    <row r="59" spans="1:51" ht="15.75" customHeight="1" thickBot="1" x14ac:dyDescent="0.3">
      <c r="A59" s="330"/>
      <c r="B59" s="330"/>
      <c r="C59" s="170" t="s">
        <v>15</v>
      </c>
      <c r="D59" s="173">
        <f t="shared" ref="D59:K59" si="4">SUM(D19:D32,D38:D40,D48:D50,D53)</f>
        <v>63480.658797978351</v>
      </c>
      <c r="E59" s="196">
        <f>SUM(E19:E32,E38:E40,E48:E50,E53)</f>
        <v>14.466046334265236</v>
      </c>
      <c r="F59" s="173">
        <f t="shared" si="4"/>
        <v>2184423651.3701725</v>
      </c>
      <c r="G59" s="196">
        <f t="shared" si="4"/>
        <v>545092.04164508346</v>
      </c>
      <c r="H59" s="173">
        <f>SUM(H19:H32,H38:H40,H48:H50,H53)</f>
        <v>967625.38685052912</v>
      </c>
      <c r="I59" s="196">
        <f t="shared" si="4"/>
        <v>236.62372211638399</v>
      </c>
      <c r="J59" s="173">
        <f>SUM(J19:J32,J38:J40,J48:J50,J53)</f>
        <v>646494903.87199986</v>
      </c>
      <c r="K59" s="230">
        <f t="shared" si="4"/>
        <v>158094.27135989044</v>
      </c>
      <c r="N59" s="29"/>
      <c r="Q59" s="148" t="s">
        <v>264</v>
      </c>
      <c r="R59" s="77">
        <f>P58+Q58</f>
        <v>155534.27135989044</v>
      </c>
    </row>
    <row r="60" spans="1:51" ht="15.75" thickBot="1" x14ac:dyDescent="0.3">
      <c r="A60" s="330"/>
      <c r="B60" s="330"/>
      <c r="C60" s="79" t="s">
        <v>16</v>
      </c>
      <c r="D60" s="173">
        <f t="shared" ref="D60:K60" si="5">SUM(D19:D32,D38:D41,D48:D56)</f>
        <v>357361.11769393645</v>
      </c>
      <c r="E60" s="196">
        <f>SUM(E19:E32,E38:E41,E48:E56)</f>
        <v>73.372315339712827</v>
      </c>
      <c r="F60" s="173">
        <f t="shared" si="5"/>
        <v>4465950602.3217268</v>
      </c>
      <c r="G60" s="196">
        <f t="shared" si="5"/>
        <v>1114414.8389799292</v>
      </c>
      <c r="H60" s="173">
        <f t="shared" si="5"/>
        <v>987209.62209252443</v>
      </c>
      <c r="I60" s="196">
        <f t="shared" si="5"/>
        <v>241.4128633488676</v>
      </c>
      <c r="J60" s="173">
        <f t="shared" si="5"/>
        <v>926011765.29658735</v>
      </c>
      <c r="K60" s="230">
        <f t="shared" si="5"/>
        <v>226447.50086728478</v>
      </c>
      <c r="Q60" s="1">
        <v>0.81</v>
      </c>
      <c r="R60" s="118" t="s">
        <v>265</v>
      </c>
    </row>
    <row r="61" spans="1:51" x14ac:dyDescent="0.25">
      <c r="A61" s="167"/>
      <c r="B61" s="167"/>
      <c r="O61" s="121"/>
      <c r="Q61" s="117">
        <v>0.81</v>
      </c>
      <c r="R61" s="77">
        <f>R59/Q60</f>
        <v>192017.61896282769</v>
      </c>
    </row>
    <row r="62" spans="1:51" s="80" customFormat="1" x14ac:dyDescent="0.25">
      <c r="A62" s="167"/>
      <c r="B62" s="167"/>
      <c r="C62"/>
      <c r="D62"/>
      <c r="E62"/>
      <c r="F62"/>
      <c r="G62"/>
      <c r="H62"/>
      <c r="I62"/>
      <c r="J62"/>
      <c r="K62"/>
      <c r="N62" s="29"/>
      <c r="O62" s="29"/>
      <c r="P62"/>
      <c r="Q62"/>
      <c r="R62" s="247"/>
      <c r="S62"/>
      <c r="T62"/>
      <c r="U62"/>
      <c r="V62"/>
      <c r="W62"/>
      <c r="X62"/>
      <c r="Y62"/>
      <c r="Z62"/>
      <c r="AA62"/>
      <c r="AB62"/>
      <c r="AC62"/>
      <c r="AD62"/>
      <c r="AE62"/>
      <c r="AF62"/>
      <c r="AG62"/>
      <c r="AH62"/>
      <c r="AI62"/>
      <c r="AJ62"/>
      <c r="AK62"/>
      <c r="AL62"/>
      <c r="AM62"/>
      <c r="AN62"/>
      <c r="AO62"/>
      <c r="AP62"/>
      <c r="AQ62"/>
      <c r="AR62"/>
      <c r="AS62"/>
      <c r="AT62"/>
      <c r="AU62"/>
      <c r="AV62"/>
      <c r="AW62"/>
      <c r="AX62"/>
      <c r="AY62"/>
    </row>
    <row r="63" spans="1:51" x14ac:dyDescent="0.25">
      <c r="A63" s="167"/>
      <c r="B63" s="167"/>
      <c r="N63" s="29"/>
      <c r="O63" s="29"/>
    </row>
    <row r="64" spans="1:51" x14ac:dyDescent="0.25">
      <c r="A64" s="167"/>
      <c r="B64" s="167"/>
      <c r="N64" s="29"/>
    </row>
    <row r="65" spans="1:20" x14ac:dyDescent="0.25">
      <c r="A65" s="167"/>
      <c r="B65" s="167"/>
      <c r="N65" s="29"/>
    </row>
    <row r="66" spans="1:20" x14ac:dyDescent="0.25">
      <c r="A66" s="167"/>
      <c r="B66" s="167"/>
      <c r="P66" s="283" t="s">
        <v>311</v>
      </c>
      <c r="Q66" s="283"/>
    </row>
    <row r="67" spans="1:20" x14ac:dyDescent="0.25">
      <c r="A67" s="167"/>
      <c r="B67" s="167"/>
      <c r="O67" s="147" t="s">
        <v>267</v>
      </c>
      <c r="P67" s="147" t="s">
        <v>268</v>
      </c>
      <c r="Q67" s="147" t="s">
        <v>269</v>
      </c>
    </row>
    <row r="68" spans="1:20" x14ac:dyDescent="0.25">
      <c r="A68" s="167"/>
      <c r="B68" s="167"/>
      <c r="O68" s="114">
        <v>8.9999999999999993E-3</v>
      </c>
      <c r="P68" s="117">
        <v>0.05</v>
      </c>
      <c r="Q68" s="117">
        <v>0.18</v>
      </c>
      <c r="R68" s="147" t="s">
        <v>306</v>
      </c>
      <c r="S68" s="1"/>
    </row>
    <row r="69" spans="1:20" x14ac:dyDescent="0.25">
      <c r="A69" s="167"/>
      <c r="B69" s="167"/>
      <c r="N69" s="147" t="s">
        <v>266</v>
      </c>
      <c r="O69" s="120">
        <f>N70*O68</f>
        <v>1728.1585706654491</v>
      </c>
      <c r="P69" s="119">
        <f>N70*P68</f>
        <v>9600.8809481413846</v>
      </c>
      <c r="Q69" s="1">
        <v>0.18</v>
      </c>
      <c r="R69" s="77">
        <f>O69+P69</f>
        <v>11329.039518806834</v>
      </c>
      <c r="S69" s="120">
        <f>O69+P69</f>
        <v>11329.039518806834</v>
      </c>
      <c r="T69" s="147" t="s">
        <v>305</v>
      </c>
    </row>
    <row r="70" spans="1:20" x14ac:dyDescent="0.25">
      <c r="A70" s="167"/>
      <c r="B70" s="167"/>
      <c r="N70" s="119">
        <f>R61</f>
        <v>192017.61896282769</v>
      </c>
      <c r="R70" s="1" t="s">
        <v>270</v>
      </c>
      <c r="S70" s="120">
        <f>S69*Q68</f>
        <v>2039.22711338523</v>
      </c>
      <c r="T70" s="113">
        <f>S69+S70</f>
        <v>13368.266632192064</v>
      </c>
    </row>
    <row r="71" spans="1:20" x14ac:dyDescent="0.25">
      <c r="A71" s="167"/>
      <c r="B71" s="167"/>
    </row>
    <row r="72" spans="1:20" x14ac:dyDescent="0.25">
      <c r="A72" s="167"/>
      <c r="B72" s="167"/>
    </row>
    <row r="73" spans="1:20" x14ac:dyDescent="0.25">
      <c r="A73" s="167"/>
      <c r="B73" s="167"/>
    </row>
    <row r="74" spans="1:20" x14ac:dyDescent="0.25">
      <c r="A74" s="167"/>
      <c r="B74" s="167"/>
    </row>
    <row r="75" spans="1:20" x14ac:dyDescent="0.25">
      <c r="A75" s="167"/>
      <c r="B75" s="167"/>
    </row>
    <row r="76" spans="1:20" x14ac:dyDescent="0.25">
      <c r="A76" s="166"/>
      <c r="M76" s="29"/>
    </row>
    <row r="77" spans="1:20" x14ac:dyDescent="0.25">
      <c r="A77" s="166"/>
      <c r="M77" s="29"/>
    </row>
    <row r="78" spans="1:20" x14ac:dyDescent="0.25">
      <c r="A78" s="167"/>
      <c r="M78" s="29"/>
    </row>
    <row r="79" spans="1:20" x14ac:dyDescent="0.25">
      <c r="A79" s="66"/>
      <c r="B79" s="66"/>
    </row>
    <row r="80" spans="1:20" x14ac:dyDescent="0.25">
      <c r="A80" s="66"/>
      <c r="B80" s="66"/>
    </row>
    <row r="81" spans="1:20" x14ac:dyDescent="0.25">
      <c r="A81" s="66"/>
      <c r="B81" s="66"/>
    </row>
    <row r="82" spans="1:20" x14ac:dyDescent="0.25">
      <c r="A82" s="66"/>
      <c r="B82" s="66"/>
    </row>
    <row r="85" spans="1:20" x14ac:dyDescent="0.25">
      <c r="N85" s="29"/>
      <c r="T85" s="236"/>
    </row>
  </sheetData>
  <mergeCells count="45">
    <mergeCell ref="P66:Q66"/>
    <mergeCell ref="V44:W44"/>
    <mergeCell ref="A49:B60"/>
    <mergeCell ref="O50:P50"/>
    <mergeCell ref="V51:W51"/>
    <mergeCell ref="P56:Q56"/>
    <mergeCell ref="D7:F7"/>
    <mergeCell ref="C2:F2"/>
    <mergeCell ref="D3:F3"/>
    <mergeCell ref="D4:F4"/>
    <mergeCell ref="D5:F5"/>
    <mergeCell ref="D6:F6"/>
    <mergeCell ref="A19:B35"/>
    <mergeCell ref="A39:B47"/>
    <mergeCell ref="D8:F8"/>
    <mergeCell ref="D9:F9"/>
    <mergeCell ref="C12:K13"/>
    <mergeCell ref="C14:C16"/>
    <mergeCell ref="D14:G14"/>
    <mergeCell ref="H14:K14"/>
    <mergeCell ref="D15:E15"/>
    <mergeCell ref="F15:G15"/>
    <mergeCell ref="H15:I15"/>
    <mergeCell ref="J15:K15"/>
    <mergeCell ref="O20:P20"/>
    <mergeCell ref="O21:P21"/>
    <mergeCell ref="O22:P22"/>
    <mergeCell ref="O23:P23"/>
    <mergeCell ref="O19:P19"/>
    <mergeCell ref="O24:P24"/>
    <mergeCell ref="O27:P27"/>
    <mergeCell ref="O28:P28"/>
    <mergeCell ref="O29:P29"/>
    <mergeCell ref="O26:P26"/>
    <mergeCell ref="O30:P30"/>
    <mergeCell ref="O31:P31"/>
    <mergeCell ref="O32:P32"/>
    <mergeCell ref="O35:P35"/>
    <mergeCell ref="O34:P34"/>
    <mergeCell ref="O43:P43"/>
    <mergeCell ref="O36:P36"/>
    <mergeCell ref="O37:P37"/>
    <mergeCell ref="O38:P38"/>
    <mergeCell ref="O39:P39"/>
    <mergeCell ref="O40:P40"/>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9</vt:i4>
      </vt:variant>
    </vt:vector>
  </HeadingPairs>
  <TitlesOfParts>
    <vt:vector size="9" baseType="lpstr">
      <vt:lpstr>CARACTERIZACIÓN</vt:lpstr>
      <vt:lpstr>ALISTAMIENTO DE CARGA</vt:lpstr>
      <vt:lpstr>DECISIÓN FINAL DE CUBICAJE</vt:lpstr>
      <vt:lpstr>LINEA DE TIEMPO MARITIMA</vt:lpstr>
      <vt:lpstr>LINEA DE TIEMPO AEREA</vt:lpstr>
      <vt:lpstr>MATRIZ 1</vt:lpstr>
      <vt:lpstr>MATRIZ 2</vt:lpstr>
      <vt:lpstr>MATRIZ 3</vt:lpstr>
      <vt:lpstr>MATRIZ 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WILMAR</dc:creator>
  <cp:lastModifiedBy>WILMAR</cp:lastModifiedBy>
  <dcterms:created xsi:type="dcterms:W3CDTF">2023-08-19T18:27:41Z</dcterms:created>
  <dcterms:modified xsi:type="dcterms:W3CDTF">2023-09-20T16:27:39Z</dcterms:modified>
</cp:coreProperties>
</file>